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995" windowHeight="9210" tabRatio="737" activeTab="1"/>
  </bookViews>
  <sheets>
    <sheet name="по предприятиям" sheetId="1" r:id="rId1"/>
    <sheet name="! по профессиям (с вузами, соц)" sheetId="2" r:id="rId2"/>
  </sheets>
  <definedNames>
    <definedName name="_xlnm.Print_Titles" localSheetId="1">'! по профессиям (с вузами, соц)'!$4:$6</definedName>
    <definedName name="_xlnm.Print_Titles" localSheetId="0">'по предприятиям'!$4:$5</definedName>
    <definedName name="_xlnm.Print_Area" localSheetId="1">'! по профессиям (с вузами, соц)'!$A$1:$Q$347</definedName>
    <definedName name="_xlnm.Print_Area" localSheetId="0">'по предприятиям'!$A$1:$S$2643</definedName>
  </definedNames>
  <calcPr fullCalcOnLoad="1"/>
</workbook>
</file>

<file path=xl/sharedStrings.xml><?xml version="1.0" encoding="utf-8"?>
<sst xmlns="http://schemas.openxmlformats.org/spreadsheetml/2006/main" count="9611" uniqueCount="1365">
  <si>
    <t>переводчик (английского и японского)</t>
  </si>
  <si>
    <t>машинист лесозаготовительных и трелевочных машин</t>
  </si>
  <si>
    <t>16010035</t>
  </si>
  <si>
    <t>старший техник (технология лесозаготовок)</t>
  </si>
  <si>
    <t>25040252</t>
  </si>
  <si>
    <r>
      <t>ООО "Красногорский хлебозавод"</t>
    </r>
    <r>
      <rPr>
        <sz val="11"/>
        <rFont val="Times New Roman"/>
        <family val="1"/>
      </rPr>
      <t>- всего</t>
    </r>
  </si>
  <si>
    <t>техник (технология хлеба, кондитерских и макаронных изделий)</t>
  </si>
  <si>
    <t>26020251</t>
  </si>
  <si>
    <r>
      <t>ООО "Гонг"</t>
    </r>
    <r>
      <rPr>
        <sz val="11"/>
        <rFont val="Times New Roman"/>
        <family val="1"/>
      </rPr>
      <t>- всего</t>
    </r>
  </si>
  <si>
    <t>424007  г. Йошкар-Ола, ул. Машиностроителей, д. 109</t>
  </si>
  <si>
    <t>электромонтер по техническому обслуживанию электростанций и сетей</t>
  </si>
  <si>
    <t>машинист дорожных и строительных машин (асфальтоукладчик)</t>
  </si>
  <si>
    <r>
      <t>ООО "Волжская ПМК"</t>
    </r>
    <r>
      <rPr>
        <sz val="11"/>
        <rFont val="Times New Roman"/>
        <family val="1"/>
      </rPr>
      <t>- всего</t>
    </r>
  </si>
  <si>
    <t>Прочие виды деятельности без разбивки по городам и районам 
и потребность по организациям прочих видов деятельности</t>
  </si>
  <si>
    <t>Потребность организаций прочих видов деятельности</t>
  </si>
  <si>
    <r>
      <t xml:space="preserve">2016 </t>
    </r>
    <r>
      <rPr>
        <sz val="10"/>
        <rFont val="Times New Roman"/>
        <family val="1"/>
      </rPr>
      <t>год</t>
    </r>
  </si>
  <si>
    <r>
      <t xml:space="preserve">2017 </t>
    </r>
    <r>
      <rPr>
        <sz val="10"/>
        <rFont val="Times New Roman"/>
        <family val="1"/>
      </rPr>
      <t>год</t>
    </r>
  </si>
  <si>
    <r>
      <t xml:space="preserve">2018 </t>
    </r>
    <r>
      <rPr>
        <sz val="10"/>
        <rFont val="Times New Roman"/>
        <family val="1"/>
      </rPr>
      <t>год</t>
    </r>
  </si>
  <si>
    <t>монтажник санитарно-технических, вентиляционных систем и оборудования</t>
  </si>
  <si>
    <t>15120023</t>
  </si>
  <si>
    <t>Профессии, общие для разных видов экономической деятельности</t>
  </si>
  <si>
    <t>ВСЕГО потребность по профессиям начального 
профессионального образования</t>
  </si>
  <si>
    <t>ОБЩАЯ ПОТРЕБНОСТЬ</t>
  </si>
  <si>
    <t>Код по классифи-катору</t>
  </si>
  <si>
    <t>По опросу работодателей</t>
  </si>
  <si>
    <t>С учетом коэффициентов расширения</t>
  </si>
  <si>
    <t>Приложение 1</t>
  </si>
  <si>
    <t>Приложение 2</t>
  </si>
  <si>
    <t>01210047</t>
  </si>
  <si>
    <t>Экономика и управление</t>
  </si>
  <si>
    <t>Прочие</t>
  </si>
  <si>
    <t>почтальон*</t>
  </si>
  <si>
    <t>16925</t>
  </si>
  <si>
    <t>2014 год</t>
  </si>
  <si>
    <t>2015 год</t>
  </si>
  <si>
    <t>30010020</t>
  </si>
  <si>
    <t>оператор вязально-швейного оборудования</t>
  </si>
  <si>
    <t>III. Специальности высшего профессионального образования</t>
  </si>
  <si>
    <t>экономист (бухгалтерский учет, анализ и аудит)</t>
  </si>
  <si>
    <t>08050765</t>
  </si>
  <si>
    <t>менеджер (менеджмент организации)</t>
  </si>
  <si>
    <t>08030165</t>
  </si>
  <si>
    <t>26040037</t>
  </si>
  <si>
    <t>моторист (машинист)</t>
  </si>
  <si>
    <r>
      <t>СПК СХА "Семисола"</t>
    </r>
    <r>
      <rPr>
        <sz val="11"/>
        <rFont val="Times New Roman"/>
        <family val="1"/>
      </rPr>
      <t xml:space="preserve"> - всего</t>
    </r>
  </si>
  <si>
    <r>
      <t xml:space="preserve">СПК колхоз "Родина" </t>
    </r>
    <r>
      <rPr>
        <sz val="11"/>
        <rFont val="Times New Roman"/>
        <family val="1"/>
      </rPr>
      <t>- всего</t>
    </r>
  </si>
  <si>
    <r>
      <t>ООО ПТФ "Птичий двор"</t>
    </r>
    <r>
      <rPr>
        <sz val="11"/>
        <rFont val="Times New Roman"/>
        <family val="1"/>
      </rPr>
      <t xml:space="preserve"> - всего</t>
    </r>
  </si>
  <si>
    <r>
      <t xml:space="preserve">ООО СХП "Лукоз" </t>
    </r>
    <r>
      <rPr>
        <sz val="11"/>
        <rFont val="Times New Roman"/>
        <family val="1"/>
      </rPr>
      <t>- всего</t>
    </r>
  </si>
  <si>
    <r>
      <t>ОАО "Йошкар-Олинская кондитерская фабрика"</t>
    </r>
    <r>
      <rPr>
        <sz val="11"/>
        <rFont val="Times New Roman"/>
        <family val="1"/>
      </rPr>
      <t>- всего</t>
    </r>
  </si>
  <si>
    <r>
      <t>ООО "Фирма "Сувенир"</t>
    </r>
    <r>
      <rPr>
        <sz val="11"/>
        <rFont val="Times New Roman"/>
        <family val="1"/>
      </rPr>
      <t>- всего</t>
    </r>
  </si>
  <si>
    <t>магистр техники и технологии (технология продуктов питания)</t>
  </si>
  <si>
    <t>26010068</t>
  </si>
  <si>
    <t>изготовитель хлебобулочных изделий</t>
  </si>
  <si>
    <t>34010027</t>
  </si>
  <si>
    <t>мастер производства молочной продукции</t>
  </si>
  <si>
    <t>41030042</t>
  </si>
  <si>
    <r>
      <t>ООО "Русь-Бейкери"</t>
    </r>
    <r>
      <rPr>
        <sz val="11"/>
        <rFont val="Times New Roman"/>
        <family val="1"/>
      </rPr>
      <t xml:space="preserve"> - всего</t>
    </r>
  </si>
  <si>
    <r>
      <t xml:space="preserve">ЗАО "Советский молочный завод" </t>
    </r>
    <r>
      <rPr>
        <sz val="11"/>
        <rFont val="Times New Roman"/>
        <family val="1"/>
      </rPr>
      <t>- всего</t>
    </r>
  </si>
  <si>
    <r>
      <t xml:space="preserve">ООО "Волжский молочный комбинат" </t>
    </r>
    <r>
      <rPr>
        <sz val="11"/>
        <rFont val="Times New Roman"/>
        <family val="1"/>
      </rPr>
      <t>- всего</t>
    </r>
  </si>
  <si>
    <r>
      <t xml:space="preserve">ООО "Санда-М" </t>
    </r>
    <r>
      <rPr>
        <sz val="11"/>
        <rFont val="Times New Roman"/>
        <family val="1"/>
      </rPr>
      <t>- всего</t>
    </r>
  </si>
  <si>
    <r>
      <t>МП "КП "Школьник"</t>
    </r>
    <r>
      <rPr>
        <sz val="11"/>
        <rFont val="Times New Roman"/>
        <family val="1"/>
      </rPr>
      <t xml:space="preserve"> - всего</t>
    </r>
  </si>
  <si>
    <r>
      <t xml:space="preserve">ООО "Ангел Плюс" </t>
    </r>
    <r>
      <rPr>
        <sz val="11"/>
        <rFont val="Times New Roman"/>
        <family val="1"/>
      </rPr>
      <t>- всего</t>
    </r>
  </si>
  <si>
    <r>
      <t xml:space="preserve">ООО "Общепит Моркинского райпо" </t>
    </r>
    <r>
      <rPr>
        <sz val="11"/>
        <rFont val="Times New Roman"/>
        <family val="1"/>
      </rPr>
      <t>- всего</t>
    </r>
  </si>
  <si>
    <r>
      <t xml:space="preserve">ООО "ТД "Гармония" </t>
    </r>
    <r>
      <rPr>
        <sz val="11"/>
        <rFont val="Times New Roman"/>
        <family val="1"/>
      </rPr>
      <t>- всего</t>
    </r>
  </si>
  <si>
    <r>
      <t xml:space="preserve">ООО "КамАЗавтосервис" </t>
    </r>
    <r>
      <rPr>
        <sz val="11"/>
        <rFont val="Times New Roman"/>
        <family val="1"/>
      </rPr>
      <t>- всего</t>
    </r>
  </si>
  <si>
    <t>техник (механизация сельского хозяйства)</t>
  </si>
  <si>
    <t>11030151</t>
  </si>
  <si>
    <t>техник (садово-парковое и ландшафтное строительство)</t>
  </si>
  <si>
    <t>25020351</t>
  </si>
  <si>
    <t>32060044</t>
  </si>
  <si>
    <t>закройщик</t>
  </si>
  <si>
    <t>специалист коммерции</t>
  </si>
  <si>
    <t>инженер (проектирование технических и технологических комплексов)</t>
  </si>
  <si>
    <t>15040165</t>
  </si>
  <si>
    <t>бакалавр техники и технологии (электроника и микроэлектроника)</t>
  </si>
  <si>
    <t>21010062</t>
  </si>
  <si>
    <r>
      <t>ООО "АС-М"</t>
    </r>
    <r>
      <rPr>
        <sz val="11"/>
        <rFont val="Times New Roman"/>
        <family val="1"/>
      </rPr>
      <t>- всего</t>
    </r>
  </si>
  <si>
    <r>
      <t>ООО "Марикоммунэнерго" -</t>
    </r>
    <r>
      <rPr>
        <sz val="11"/>
        <rFont val="Times New Roman"/>
        <family val="1"/>
      </rPr>
      <t xml:space="preserve"> всего</t>
    </r>
  </si>
  <si>
    <r>
      <t xml:space="preserve">ООО "Виктория" </t>
    </r>
    <r>
      <rPr>
        <sz val="11"/>
        <rFont val="Times New Roman"/>
        <family val="1"/>
      </rPr>
      <t>- всего</t>
    </r>
  </si>
  <si>
    <r>
      <t xml:space="preserve">ООО "Фурор" </t>
    </r>
    <r>
      <rPr>
        <sz val="11"/>
        <rFont val="Times New Roman"/>
        <family val="1"/>
      </rPr>
      <t>- всего</t>
    </r>
  </si>
  <si>
    <r>
      <t>Йошкар-Олинская  ТЭЦ-2 Филиала ОАО "ТГК-5" Марий Эл и Чувашии" -</t>
    </r>
    <r>
      <rPr>
        <sz val="11"/>
        <rFont val="Times New Roman"/>
        <family val="1"/>
      </rPr>
      <t xml:space="preserve"> всего</t>
    </r>
  </si>
  <si>
    <r>
      <t xml:space="preserve">ОАО "Йошкар-Олинский ремонтный завод" </t>
    </r>
    <r>
      <rPr>
        <sz val="11"/>
        <rFont val="Times New Roman"/>
        <family val="1"/>
      </rPr>
      <t>- всего</t>
    </r>
  </si>
  <si>
    <r>
      <t xml:space="preserve">ОАО "Марий Эл Дорстрой" </t>
    </r>
    <r>
      <rPr>
        <sz val="11"/>
        <rFont val="Times New Roman"/>
        <family val="1"/>
      </rPr>
      <t>- всего</t>
    </r>
  </si>
  <si>
    <r>
      <t>ГКУ "Марийскавтодор"</t>
    </r>
    <r>
      <rPr>
        <sz val="11"/>
        <rFont val="Times New Roman"/>
        <family val="1"/>
      </rPr>
      <t xml:space="preserve"> - всего</t>
    </r>
  </si>
  <si>
    <t>старший техник (сварочное производство)</t>
  </si>
  <si>
    <t>15020352</t>
  </si>
  <si>
    <t>инженер (радиосвязь, радиовещание и телевидение)</t>
  </si>
  <si>
    <t>21040565</t>
  </si>
  <si>
    <r>
      <t xml:space="preserve">ГУП РМЭ "Пассажирские перевозки" </t>
    </r>
    <r>
      <rPr>
        <sz val="11"/>
        <rFont val="Times New Roman"/>
        <family val="1"/>
      </rPr>
      <t>- всего</t>
    </r>
  </si>
  <si>
    <r>
      <t xml:space="preserve">ООО "Волжские пассажирские перевозки" </t>
    </r>
    <r>
      <rPr>
        <sz val="11"/>
        <rFont val="Times New Roman"/>
        <family val="1"/>
      </rPr>
      <t>- всего</t>
    </r>
  </si>
  <si>
    <t>электромеханик по ремонту и обслуживанию электрооборудования судна</t>
  </si>
  <si>
    <t>26030047</t>
  </si>
  <si>
    <r>
      <t>ОАО "ПМК-5"</t>
    </r>
    <r>
      <rPr>
        <sz val="11"/>
        <rFont val="Times New Roman"/>
        <family val="1"/>
      </rPr>
      <t xml:space="preserve"> - всего</t>
    </r>
  </si>
  <si>
    <r>
      <t xml:space="preserve">ЗАО СПП "Салют" </t>
    </r>
    <r>
      <rPr>
        <sz val="11"/>
        <rFont val="Times New Roman"/>
        <family val="1"/>
      </rPr>
      <t>- всего</t>
    </r>
  </si>
  <si>
    <t xml:space="preserve">     -</t>
  </si>
  <si>
    <t>экономист (экономика труда)</t>
  </si>
  <si>
    <t>08010465</t>
  </si>
  <si>
    <t>Электромонтёр по ремонту аппаратуры релейной защиты автоматики 4 разряд</t>
  </si>
  <si>
    <t>машинист тепловоза</t>
  </si>
  <si>
    <t>Электромонтёр по ремонту аппаратуры релейной защиты автоматики 5 разряд</t>
  </si>
  <si>
    <t>Аппаратчик химводоотчистки электростанции 4 разряд</t>
  </si>
  <si>
    <t>Инженер-химик</t>
  </si>
  <si>
    <t>01140039</t>
  </si>
  <si>
    <t>Слесарь по ремонту технологических установок</t>
  </si>
  <si>
    <t>Механик</t>
  </si>
  <si>
    <t>Оператор автомата по розливу молочной продукции в пакеты и плёнку</t>
  </si>
  <si>
    <t>математик-программист (математическое обеспечение и администрирование информационных систем)</t>
  </si>
  <si>
    <t>01050365</t>
  </si>
  <si>
    <t>08011165</t>
  </si>
  <si>
    <t>юрист</t>
  </si>
  <si>
    <t>03050165</t>
  </si>
  <si>
    <t>инженер-менеджер (управление качеством)</t>
  </si>
  <si>
    <t>22050165</t>
  </si>
  <si>
    <t>08050068</t>
  </si>
  <si>
    <t>магистр менеджмента</t>
  </si>
  <si>
    <t>менеджер (организация обслуживания в общественном питании)</t>
  </si>
  <si>
    <t>10010651</t>
  </si>
  <si>
    <t>техник (теплоснабжение и теплотехническое оборудование)</t>
  </si>
  <si>
    <t>14010251</t>
  </si>
  <si>
    <t>бакалавр техники и технологии (теплоэнергетика)</t>
  </si>
  <si>
    <t>14010062</t>
  </si>
  <si>
    <t xml:space="preserve">  -</t>
  </si>
  <si>
    <t>жиловщик мяса и субпродуктов</t>
  </si>
  <si>
    <t>агроинженерия</t>
  </si>
  <si>
    <t>землеустройство и кадастры</t>
  </si>
  <si>
    <t>лесное дело</t>
  </si>
  <si>
    <t>садово-парковое и ландшафтное строительство</t>
  </si>
  <si>
    <t>технология и оборудование лесозаготовительных и деревоперерабатывающих производств</t>
  </si>
  <si>
    <t>электрослесарь по ремонту оборудования РУ 4-5 разряда</t>
  </si>
  <si>
    <t>инженер-химик</t>
  </si>
  <si>
    <t>механик</t>
  </si>
  <si>
    <t>судоводитель-помощник механика (электромеханика) судов речного флота</t>
  </si>
  <si>
    <t>26020046</t>
  </si>
  <si>
    <t>техник (техническое обслуживание и ремонт автомобильного транспорта)</t>
  </si>
  <si>
    <t>19060451</t>
  </si>
  <si>
    <t>специалист страхового дела</t>
  </si>
  <si>
    <t>08011351</t>
  </si>
  <si>
    <t>техник (монтаж, наладка и эксплуатация электрооборудования промышленных и гражданских зданий)</t>
  </si>
  <si>
    <t>27011651</t>
  </si>
  <si>
    <t>специалист по социальной работе</t>
  </si>
  <si>
    <t>парикмахер</t>
  </si>
  <si>
    <t>39050037</t>
  </si>
  <si>
    <t>технолог (парикмахерское искусство)</t>
  </si>
  <si>
    <t>10010851</t>
  </si>
  <si>
    <t>техник (техническая эксплуатация подъемно-транспортных, строительных, дорожных машин и оборудования)</t>
  </si>
  <si>
    <t>19060551</t>
  </si>
  <si>
    <t>ВСЕГО потребность по специальностям высшего 
профессионального образования</t>
  </si>
  <si>
    <t>ОАО "Волжскпромстрой" - всего</t>
  </si>
  <si>
    <t>ЗАО "АЗС-Промконструкция" - всего</t>
  </si>
  <si>
    <t>2016 год</t>
  </si>
  <si>
    <t>2017 год</t>
  </si>
  <si>
    <t>2018 год</t>
  </si>
  <si>
    <t xml:space="preserve">Средне-списочная численность работников </t>
  </si>
  <si>
    <r>
      <t>ООО "Эмеково"</t>
    </r>
    <r>
      <rPr>
        <sz val="11"/>
        <rFont val="Times New Roman"/>
        <family val="1"/>
      </rPr>
      <t>- всего</t>
    </r>
  </si>
  <si>
    <r>
      <t>ООО "Упшер"</t>
    </r>
    <r>
      <rPr>
        <sz val="11"/>
        <rFont val="Times New Roman"/>
        <family val="1"/>
      </rPr>
      <t>- всего</t>
    </r>
  </si>
  <si>
    <r>
      <t>ООО "СХП "Москва"</t>
    </r>
    <r>
      <rPr>
        <sz val="11"/>
        <rFont val="Times New Roman"/>
        <family val="1"/>
      </rPr>
      <t>- всего</t>
    </r>
  </si>
  <si>
    <r>
      <t>СПК ПК им. Мосолова</t>
    </r>
    <r>
      <rPr>
        <sz val="11"/>
        <rFont val="Times New Roman"/>
        <family val="1"/>
      </rPr>
      <t xml:space="preserve"> - всего</t>
    </r>
  </si>
  <si>
    <r>
      <t xml:space="preserve">ООО "Птицефабрика Звениговская" </t>
    </r>
    <r>
      <rPr>
        <sz val="11"/>
        <rFont val="Times New Roman"/>
        <family val="1"/>
      </rPr>
      <t>- всего</t>
    </r>
  </si>
  <si>
    <r>
      <t>ООО  СХП "Ташнурское"</t>
    </r>
    <r>
      <rPr>
        <sz val="11"/>
        <rFont val="Times New Roman"/>
        <family val="1"/>
      </rPr>
      <t xml:space="preserve"> - всего</t>
    </r>
  </si>
  <si>
    <r>
      <t>ПК СХА (колхоз) "Искра"</t>
    </r>
    <r>
      <rPr>
        <sz val="11"/>
        <rFont val="Times New Roman"/>
        <family val="1"/>
      </rPr>
      <t xml:space="preserve"> - всего</t>
    </r>
  </si>
  <si>
    <r>
      <t>ООО "Куженерское молоко"</t>
    </r>
    <r>
      <rPr>
        <sz val="11"/>
        <rFont val="Times New Roman"/>
        <family val="1"/>
      </rPr>
      <t xml:space="preserve"> - всего</t>
    </r>
  </si>
  <si>
    <r>
      <t xml:space="preserve">ООО "Агрохимсервис" </t>
    </r>
    <r>
      <rPr>
        <sz val="11"/>
        <rFont val="Times New Roman"/>
        <family val="1"/>
      </rPr>
      <t>- всего</t>
    </r>
  </si>
  <si>
    <r>
      <t xml:space="preserve">СПК (колхоз) "Восход" </t>
    </r>
    <r>
      <rPr>
        <sz val="11"/>
        <rFont val="Times New Roman"/>
        <family val="1"/>
      </rPr>
      <t>- всего</t>
    </r>
  </si>
  <si>
    <r>
      <t>ООО Агрофирма "Акпарс"</t>
    </r>
    <r>
      <rPr>
        <sz val="11"/>
        <rFont val="Times New Roman"/>
        <family val="1"/>
      </rPr>
      <t xml:space="preserve"> - всего</t>
    </r>
  </si>
  <si>
    <r>
      <t xml:space="preserve">ООО "Росагро" </t>
    </r>
    <r>
      <rPr>
        <sz val="11"/>
        <rFont val="Times New Roman"/>
        <family val="1"/>
      </rPr>
      <t>- всего</t>
    </r>
  </si>
  <si>
    <r>
      <t xml:space="preserve">ООО "Галеон" </t>
    </r>
    <r>
      <rPr>
        <sz val="11"/>
        <rFont val="Times New Roman"/>
        <family val="1"/>
      </rPr>
      <t>- всего</t>
    </r>
  </si>
  <si>
    <r>
      <t>СПК колхоз "Рассвет"</t>
    </r>
    <r>
      <rPr>
        <sz val="11"/>
        <rFont val="Times New Roman"/>
        <family val="1"/>
      </rPr>
      <t xml:space="preserve"> - всего</t>
    </r>
  </si>
  <si>
    <r>
      <t xml:space="preserve">ЗАО "Марийское" </t>
    </r>
    <r>
      <rPr>
        <sz val="11"/>
        <rFont val="Times New Roman"/>
        <family val="1"/>
      </rPr>
      <t>- всего</t>
    </r>
  </si>
  <si>
    <r>
      <t>ОАО  "Тепличное"</t>
    </r>
    <r>
      <rPr>
        <sz val="11"/>
        <rFont val="Times New Roman"/>
        <family val="1"/>
      </rPr>
      <t xml:space="preserve"> - всего</t>
    </r>
  </si>
  <si>
    <r>
      <t xml:space="preserve">ЗАО племенной завод "Семеновский" </t>
    </r>
    <r>
      <rPr>
        <sz val="11"/>
        <rFont val="Times New Roman"/>
        <family val="1"/>
      </rPr>
      <t>- всего</t>
    </r>
  </si>
  <si>
    <r>
      <t xml:space="preserve">ЗАО  племзавод "Шойбулакский" </t>
    </r>
    <r>
      <rPr>
        <sz val="11"/>
        <rFont val="Times New Roman"/>
        <family val="1"/>
      </rPr>
      <t>- всего</t>
    </r>
  </si>
  <si>
    <r>
      <t>СПК  колхоз "Нива"</t>
    </r>
    <r>
      <rPr>
        <sz val="11"/>
        <rFont val="Times New Roman"/>
        <family val="1"/>
      </rPr>
      <t xml:space="preserve"> - всего</t>
    </r>
  </si>
  <si>
    <t xml:space="preserve">наладчик автоматов и полуавтоматов            </t>
  </si>
  <si>
    <t xml:space="preserve">01070244   </t>
  </si>
  <si>
    <t>01070347</t>
  </si>
  <si>
    <t>наладчик станков и манипуляторов с программным управлением</t>
  </si>
  <si>
    <r>
      <t>СПК СХА "Передовик"</t>
    </r>
    <r>
      <rPr>
        <sz val="11"/>
        <rFont val="Times New Roman"/>
        <family val="1"/>
      </rPr>
      <t xml:space="preserve"> - всего</t>
    </r>
  </si>
  <si>
    <r>
      <t>СПК СХА "Знамя"</t>
    </r>
    <r>
      <rPr>
        <sz val="11"/>
        <rFont val="Times New Roman"/>
        <family val="1"/>
      </rPr>
      <t xml:space="preserve"> - всего</t>
    </r>
  </si>
  <si>
    <r>
      <t>ООО "Нива"</t>
    </r>
    <r>
      <rPr>
        <sz val="11"/>
        <rFont val="Times New Roman"/>
        <family val="1"/>
      </rPr>
      <t xml:space="preserve"> - всего</t>
    </r>
  </si>
  <si>
    <r>
      <t>СПК (колхоз) "Елембаевский"</t>
    </r>
    <r>
      <rPr>
        <sz val="11"/>
        <rFont val="Times New Roman"/>
        <family val="1"/>
      </rPr>
      <t>- всего</t>
    </r>
  </si>
  <si>
    <r>
      <t>ПКСХ (колхоз) "Авангард"</t>
    </r>
    <r>
      <rPr>
        <sz val="11"/>
        <rFont val="Times New Roman"/>
        <family val="1"/>
      </rPr>
      <t>- всего</t>
    </r>
  </si>
  <si>
    <r>
      <t xml:space="preserve">ООО  "Оршанский сельхозпром" </t>
    </r>
    <r>
      <rPr>
        <sz val="11"/>
        <rFont val="Times New Roman"/>
        <family val="1"/>
      </rPr>
      <t>- всего</t>
    </r>
  </si>
  <si>
    <r>
      <t>ЗАО "Сердежское"</t>
    </r>
    <r>
      <rPr>
        <sz val="11"/>
        <rFont val="Times New Roman"/>
        <family val="1"/>
      </rPr>
      <t xml:space="preserve"> - всего</t>
    </r>
  </si>
  <si>
    <r>
      <t xml:space="preserve">СПК СХА "Земледелец" </t>
    </r>
    <r>
      <rPr>
        <sz val="11"/>
        <rFont val="Times New Roman"/>
        <family val="1"/>
      </rPr>
      <t>- всего</t>
    </r>
  </si>
  <si>
    <r>
      <t xml:space="preserve">СПК СХА "Лажъял" </t>
    </r>
    <r>
      <rPr>
        <sz val="11"/>
        <rFont val="Times New Roman"/>
        <family val="1"/>
      </rPr>
      <t>- всего</t>
    </r>
  </si>
  <si>
    <r>
      <t>СПК колхоз "У илыш"</t>
    </r>
    <r>
      <rPr>
        <sz val="11"/>
        <rFont val="Times New Roman"/>
        <family val="1"/>
      </rPr>
      <t xml:space="preserve"> - всего</t>
    </r>
  </si>
  <si>
    <r>
      <t>СПК колхоз им. Ленина</t>
    </r>
    <r>
      <rPr>
        <sz val="11"/>
        <rFont val="Times New Roman"/>
        <family val="1"/>
      </rPr>
      <t xml:space="preserve"> - всего</t>
    </r>
  </si>
  <si>
    <r>
      <t>ООО "Советское молоко"</t>
    </r>
    <r>
      <rPr>
        <sz val="11"/>
        <rFont val="Times New Roman"/>
        <family val="1"/>
      </rPr>
      <t xml:space="preserve"> - всего</t>
    </r>
  </si>
  <si>
    <r>
      <t>СПК колхоз "Родина"</t>
    </r>
    <r>
      <rPr>
        <sz val="11"/>
        <rFont val="Times New Roman"/>
        <family val="1"/>
      </rPr>
      <t xml:space="preserve"> - всего</t>
    </r>
  </si>
  <si>
    <r>
      <t>СПК СХА "Большевик"</t>
    </r>
    <r>
      <rPr>
        <sz val="11"/>
        <rFont val="Times New Roman"/>
        <family val="1"/>
      </rPr>
      <t xml:space="preserve"> - всего</t>
    </r>
  </si>
  <si>
    <r>
      <t>СПК-СА им. Кирова</t>
    </r>
    <r>
      <rPr>
        <sz val="11"/>
        <rFont val="Times New Roman"/>
        <family val="1"/>
      </rPr>
      <t xml:space="preserve"> - всего</t>
    </r>
  </si>
  <si>
    <r>
      <t>ООО "Агрофирма Маяк"</t>
    </r>
    <r>
      <rPr>
        <sz val="11"/>
        <rFont val="Times New Roman"/>
        <family val="1"/>
      </rPr>
      <t xml:space="preserve"> - всего</t>
    </r>
  </si>
  <si>
    <r>
      <t>ОАО "ММЗ"</t>
    </r>
    <r>
      <rPr>
        <sz val="11"/>
        <rFont val="Times New Roman"/>
        <family val="1"/>
      </rPr>
      <t xml:space="preserve"> - всего</t>
    </r>
  </si>
  <si>
    <r>
      <t>ЗАО "Йошкар-Олинский мясокомбинат"</t>
    </r>
    <r>
      <rPr>
        <sz val="11"/>
        <rFont val="Times New Roman"/>
        <family val="1"/>
      </rPr>
      <t xml:space="preserve"> - всего</t>
    </r>
  </si>
  <si>
    <r>
      <t>МУП "Йошкар-Олинская  ТЭЦ-1" -</t>
    </r>
    <r>
      <rPr>
        <sz val="11"/>
        <rFont val="Times New Roman"/>
        <family val="1"/>
      </rPr>
      <t xml:space="preserve"> всего</t>
    </r>
  </si>
  <si>
    <r>
      <t xml:space="preserve">ООО "Импульс" </t>
    </r>
    <r>
      <rPr>
        <sz val="11"/>
        <rFont val="Times New Roman"/>
        <family val="1"/>
      </rPr>
      <t>- всего</t>
    </r>
  </si>
  <si>
    <r>
      <t xml:space="preserve">ОАО "Энергия" </t>
    </r>
    <r>
      <rPr>
        <sz val="11"/>
        <rFont val="Times New Roman"/>
        <family val="1"/>
      </rPr>
      <t>- всего</t>
    </r>
  </si>
  <si>
    <r>
      <t>ООО "Объединение Родина"</t>
    </r>
    <r>
      <rPr>
        <sz val="11"/>
        <rFont val="Times New Roman"/>
        <family val="1"/>
      </rPr>
      <t xml:space="preserve"> - всего</t>
    </r>
  </si>
  <si>
    <r>
      <t xml:space="preserve">ООО "Еврофуд" </t>
    </r>
    <r>
      <rPr>
        <sz val="11"/>
        <rFont val="Times New Roman"/>
        <family val="1"/>
      </rPr>
      <t>- всего</t>
    </r>
  </si>
  <si>
    <r>
      <t>ООО "Махаон"</t>
    </r>
    <r>
      <rPr>
        <sz val="11"/>
        <rFont val="Times New Roman"/>
        <family val="1"/>
      </rPr>
      <t xml:space="preserve"> - всего</t>
    </r>
  </si>
  <si>
    <r>
      <t>ООО НПФ "Республиканский молочный завод"</t>
    </r>
    <r>
      <rPr>
        <sz val="11"/>
        <rFont val="Times New Roman"/>
        <family val="1"/>
      </rPr>
      <t>- всего</t>
    </r>
  </si>
  <si>
    <r>
      <t xml:space="preserve">ООО "Молпром" </t>
    </r>
    <r>
      <rPr>
        <sz val="11"/>
        <rFont val="Times New Roman"/>
        <family val="1"/>
      </rPr>
      <t>- всего</t>
    </r>
  </si>
  <si>
    <r>
      <t>ЗАО "Йошкар-Олинский комбинат хлебопродуктов"</t>
    </r>
    <r>
      <rPr>
        <sz val="11"/>
        <rFont val="Times New Roman"/>
        <family val="1"/>
      </rPr>
      <t xml:space="preserve"> - всего</t>
    </r>
  </si>
  <si>
    <r>
      <t>ООО "Йошкар-Олинское предприятие "Элмет"</t>
    </r>
    <r>
      <rPr>
        <sz val="11"/>
        <rFont val="Times New Roman"/>
        <family val="1"/>
      </rPr>
      <t xml:space="preserve"> - всего</t>
    </r>
  </si>
  <si>
    <r>
      <t xml:space="preserve">ЗАО "Железобетонные конструкции" </t>
    </r>
    <r>
      <rPr>
        <sz val="11"/>
        <rFont val="Times New Roman"/>
        <family val="1"/>
      </rPr>
      <t>- всего</t>
    </r>
  </si>
  <si>
    <r>
      <t>ООО "Мельник"</t>
    </r>
    <r>
      <rPr>
        <sz val="11"/>
        <rFont val="Times New Roman"/>
        <family val="1"/>
      </rPr>
      <t xml:space="preserve"> - всего</t>
    </r>
  </si>
  <si>
    <r>
      <t>ООО "Русский пеллет"</t>
    </r>
    <r>
      <rPr>
        <sz val="11"/>
        <rFont val="Times New Roman"/>
        <family val="1"/>
      </rPr>
      <t>- всего</t>
    </r>
  </si>
  <si>
    <t>40070536</t>
  </si>
  <si>
    <t>рабочий по уходу за животными</t>
  </si>
  <si>
    <t>Оператор машинного доения коров (мастер машинного доения)</t>
  </si>
  <si>
    <t>токарь 5 разряда</t>
  </si>
  <si>
    <t>слесарь-ремонтник 4 разряда</t>
  </si>
  <si>
    <t>Бухгалтер (экономика и бухгалтерский учёт)</t>
  </si>
  <si>
    <t>техник-электрик (электрификация и автоматизация сельского хозяйства)</t>
  </si>
  <si>
    <t>111030251</t>
  </si>
  <si>
    <t>зоотехник (зооинженер)</t>
  </si>
  <si>
    <t>ветеринарный врач (ветерринария)</t>
  </si>
  <si>
    <t>ООО "Молоко" - всего</t>
  </si>
  <si>
    <t xml:space="preserve">водитель </t>
  </si>
  <si>
    <t>мастер производственного цеха</t>
  </si>
  <si>
    <t>техник (техническое обслуживание и ремонт автотранспорта)</t>
  </si>
  <si>
    <t>инженер-технолог</t>
  </si>
  <si>
    <t>инженер-конструктор</t>
  </si>
  <si>
    <r>
      <t>ОАО "Марийский ЦБК"</t>
    </r>
    <r>
      <rPr>
        <sz val="11"/>
        <rFont val="Times New Roman"/>
        <family val="1"/>
      </rPr>
      <t xml:space="preserve"> - всего</t>
    </r>
  </si>
  <si>
    <r>
      <t xml:space="preserve">ЗАО "Ариада" </t>
    </r>
    <r>
      <rPr>
        <sz val="11"/>
        <rFont val="Times New Roman"/>
        <family val="1"/>
      </rPr>
      <t>- всего</t>
    </r>
  </si>
  <si>
    <r>
      <t>ЗАО "Завод Совиталпродмаш"</t>
    </r>
    <r>
      <rPr>
        <sz val="11"/>
        <rFont val="Times New Roman"/>
        <family val="1"/>
      </rPr>
      <t>- всего</t>
    </r>
  </si>
  <si>
    <r>
      <t>ОАО "Волжский электромеханический завод"</t>
    </r>
    <r>
      <rPr>
        <sz val="11"/>
        <rFont val="Times New Roman"/>
        <family val="1"/>
      </rPr>
      <t xml:space="preserve"> - всего</t>
    </r>
  </si>
  <si>
    <r>
      <t xml:space="preserve">ООО "Чонаш" </t>
    </r>
    <r>
      <rPr>
        <sz val="11"/>
        <rFont val="Times New Roman"/>
        <family val="1"/>
      </rPr>
      <t>- всего</t>
    </r>
  </si>
  <si>
    <r>
      <t xml:space="preserve">ЗАО "Потенциал" </t>
    </r>
    <r>
      <rPr>
        <sz val="11"/>
        <rFont val="Times New Roman"/>
        <family val="1"/>
      </rPr>
      <t>- всего</t>
    </r>
  </si>
  <si>
    <r>
      <t xml:space="preserve">ОАО "Завод "Копир" </t>
    </r>
    <r>
      <rPr>
        <sz val="11"/>
        <rFont val="Times New Roman"/>
        <family val="1"/>
      </rPr>
      <t>- всего</t>
    </r>
  </si>
  <si>
    <r>
      <t xml:space="preserve">Филиал ООО "Марикоммунэнерго" "Козьмодемьянские тепловые сети" </t>
    </r>
    <r>
      <rPr>
        <sz val="11"/>
        <rFont val="Times New Roman"/>
        <family val="1"/>
      </rPr>
      <t>- всего</t>
    </r>
  </si>
  <si>
    <r>
      <t>ОАО КЗ "Электродвигатель"</t>
    </r>
    <r>
      <rPr>
        <sz val="11"/>
        <rFont val="Times New Roman"/>
        <family val="1"/>
      </rPr>
      <t xml:space="preserve"> - всего</t>
    </r>
  </si>
  <si>
    <r>
      <t>ОАО "Красногорский КАФ"</t>
    </r>
    <r>
      <rPr>
        <sz val="11"/>
        <rFont val="Times New Roman"/>
        <family val="1"/>
      </rPr>
      <t xml:space="preserve"> - всего</t>
    </r>
  </si>
  <si>
    <r>
      <t>ЗАО "Звениговский городской молочный комбинат"</t>
    </r>
    <r>
      <rPr>
        <sz val="11"/>
        <rFont val="Times New Roman"/>
        <family val="1"/>
      </rPr>
      <t xml:space="preserve"> - всего</t>
    </r>
  </si>
  <si>
    <r>
      <t xml:space="preserve">ОАО "ШХ "Сайвер" </t>
    </r>
    <r>
      <rPr>
        <sz val="11"/>
        <rFont val="Times New Roman"/>
        <family val="1"/>
      </rPr>
      <t>- всего</t>
    </r>
  </si>
  <si>
    <r>
      <t>ОАО "ССРЗ им. Бутякова С.Н."</t>
    </r>
    <r>
      <rPr>
        <sz val="11"/>
        <rFont val="Times New Roman"/>
        <family val="1"/>
      </rPr>
      <t>- всего</t>
    </r>
  </si>
  <si>
    <r>
      <t xml:space="preserve">ООО "Римко" </t>
    </r>
    <r>
      <rPr>
        <sz val="11"/>
        <rFont val="Times New Roman"/>
        <family val="1"/>
      </rPr>
      <t>- всего</t>
    </r>
  </si>
  <si>
    <r>
      <t xml:space="preserve">ООО "Дружина" </t>
    </r>
    <r>
      <rPr>
        <sz val="11"/>
        <rFont val="Times New Roman"/>
        <family val="1"/>
      </rPr>
      <t>- всего</t>
    </r>
  </si>
  <si>
    <r>
      <t>ООО "Нива"</t>
    </r>
    <r>
      <rPr>
        <sz val="11"/>
        <rFont val="Times New Roman"/>
        <family val="1"/>
      </rPr>
      <t>- всего</t>
    </r>
  </si>
  <si>
    <r>
      <t>ООО "Олимп"</t>
    </r>
    <r>
      <rPr>
        <sz val="11"/>
        <rFont val="Times New Roman"/>
        <family val="1"/>
      </rPr>
      <t>- всего</t>
    </r>
  </si>
  <si>
    <r>
      <t>ООО "Ардинский хлеб"</t>
    </r>
    <r>
      <rPr>
        <sz val="11"/>
        <rFont val="Times New Roman"/>
        <family val="1"/>
      </rPr>
      <t xml:space="preserve"> - всего</t>
    </r>
  </si>
  <si>
    <r>
      <t xml:space="preserve">ООО "Ямбатр" </t>
    </r>
    <r>
      <rPr>
        <sz val="11"/>
        <rFont val="Times New Roman"/>
        <family val="1"/>
      </rPr>
      <t>- всего</t>
    </r>
  </si>
  <si>
    <r>
      <t xml:space="preserve">ЗАО "Марийский завод силикатного кирпича" </t>
    </r>
    <r>
      <rPr>
        <sz val="11"/>
        <rFont val="Times New Roman"/>
        <family val="1"/>
      </rPr>
      <t>- всего</t>
    </r>
  </si>
  <si>
    <r>
      <t xml:space="preserve">ООО "Центр погонажных изделий" </t>
    </r>
    <r>
      <rPr>
        <sz val="11"/>
        <rFont val="Times New Roman"/>
        <family val="1"/>
      </rPr>
      <t>- всего</t>
    </r>
  </si>
  <si>
    <r>
      <t xml:space="preserve">ЗАО "Сернурский сырзавод" </t>
    </r>
    <r>
      <rPr>
        <sz val="11"/>
        <rFont val="Times New Roman"/>
        <family val="1"/>
      </rPr>
      <t>- всего</t>
    </r>
  </si>
  <si>
    <r>
      <t>ООО "Ново-фокинский ликеро-водочный завод"</t>
    </r>
    <r>
      <rPr>
        <sz val="11"/>
        <rFont val="Times New Roman"/>
        <family val="1"/>
      </rPr>
      <t xml:space="preserve"> - всего</t>
    </r>
  </si>
  <si>
    <r>
      <t xml:space="preserve">ОАО "Маригражданстрой" </t>
    </r>
    <r>
      <rPr>
        <sz val="11"/>
        <rFont val="Times New Roman"/>
        <family val="1"/>
      </rPr>
      <t>- всего</t>
    </r>
  </si>
  <si>
    <r>
      <t xml:space="preserve">ЗАО "ПМК-3" </t>
    </r>
    <r>
      <rPr>
        <sz val="11"/>
        <rFont val="Times New Roman"/>
        <family val="1"/>
      </rPr>
      <t>- всего</t>
    </r>
  </si>
  <si>
    <r>
      <t>ОАО "Марспецмонтаж"</t>
    </r>
    <r>
      <rPr>
        <sz val="11"/>
        <rFont val="Times New Roman"/>
        <family val="1"/>
      </rPr>
      <t xml:space="preserve"> - всего</t>
    </r>
  </si>
  <si>
    <r>
      <t xml:space="preserve">ЗАО "Мариэлсантехмонтаж" </t>
    </r>
    <r>
      <rPr>
        <sz val="11"/>
        <rFont val="Times New Roman"/>
        <family val="1"/>
      </rPr>
      <t>- всего</t>
    </r>
  </si>
  <si>
    <r>
      <t xml:space="preserve">ОАО "Управление механизации строительства" </t>
    </r>
    <r>
      <rPr>
        <sz val="11"/>
        <rFont val="Times New Roman"/>
        <family val="1"/>
      </rPr>
      <t>- всего</t>
    </r>
  </si>
  <si>
    <r>
      <t xml:space="preserve">Филиал ООО "Межрегиональная домостроительная компания" </t>
    </r>
    <r>
      <rPr>
        <sz val="11"/>
        <rFont val="Times New Roman"/>
        <family val="1"/>
      </rPr>
      <t>- всего</t>
    </r>
  </si>
  <si>
    <r>
      <t xml:space="preserve">ООО "Стройбетон-С" </t>
    </r>
    <r>
      <rPr>
        <sz val="11"/>
        <rFont val="Times New Roman"/>
        <family val="1"/>
      </rPr>
      <t>- всего</t>
    </r>
  </si>
  <si>
    <r>
      <t>ООО "Чапаевское"</t>
    </r>
    <r>
      <rPr>
        <sz val="11"/>
        <rFont val="Times New Roman"/>
        <family val="1"/>
      </rPr>
      <t>- всего</t>
    </r>
  </si>
  <si>
    <r>
      <t xml:space="preserve">ООО "Респект" </t>
    </r>
    <r>
      <rPr>
        <sz val="11"/>
        <rFont val="Times New Roman"/>
        <family val="1"/>
      </rPr>
      <t>- всего</t>
    </r>
  </si>
  <si>
    <t>монтажник наружных трубопроводов</t>
  </si>
  <si>
    <t>15080128</t>
  </si>
  <si>
    <t>техник (хранение и переработка растениеводческой продукции)</t>
  </si>
  <si>
    <t>11030651</t>
  </si>
  <si>
    <r>
      <t>СПК "Звениговский"</t>
    </r>
    <r>
      <rPr>
        <sz val="11"/>
        <rFont val="Times New Roman"/>
        <family val="1"/>
      </rPr>
      <t xml:space="preserve"> - всего</t>
    </r>
  </si>
  <si>
    <t>переработчик скота и мяса</t>
  </si>
  <si>
    <t>41010022</t>
  </si>
  <si>
    <t>инженер (механизация сельского хозяйства)</t>
  </si>
  <si>
    <r>
      <t>ООО "Крестьянское подворье - АГРО"</t>
    </r>
    <r>
      <rPr>
        <sz val="11"/>
        <rFont val="Times New Roman"/>
        <family val="1"/>
      </rPr>
      <t xml:space="preserve"> - всего</t>
    </r>
  </si>
  <si>
    <t>40050048</t>
  </si>
  <si>
    <r>
      <t xml:space="preserve">ООО "ПТФ Акашевская" </t>
    </r>
    <r>
      <rPr>
        <sz val="11"/>
        <rFont val="Times New Roman"/>
        <family val="1"/>
      </rPr>
      <t>(все районы) - всего</t>
    </r>
  </si>
  <si>
    <r>
      <t xml:space="preserve">СХПК-СХА (колхоз) "Первое Мая" </t>
    </r>
    <r>
      <rPr>
        <sz val="11"/>
        <rFont val="Times New Roman"/>
        <family val="1"/>
      </rPr>
      <t>- всего</t>
    </r>
  </si>
  <si>
    <r>
      <t>СХПК "Победа"</t>
    </r>
    <r>
      <rPr>
        <sz val="11"/>
        <rFont val="Times New Roman"/>
        <family val="1"/>
      </rPr>
      <t xml:space="preserve"> - всего</t>
    </r>
  </si>
  <si>
    <t xml:space="preserve"> </t>
  </si>
  <si>
    <r>
      <t>СПК СХА "Авангард"</t>
    </r>
    <r>
      <rPr>
        <sz val="11"/>
        <rFont val="Times New Roman"/>
        <family val="1"/>
      </rPr>
      <t xml:space="preserve"> - всего</t>
    </r>
  </si>
  <si>
    <t>Органы государственной и муниципальной власти -  всего</t>
  </si>
  <si>
    <t>экономист (земельно-имущественные отношения)</t>
  </si>
  <si>
    <t>08011451</t>
  </si>
  <si>
    <t>юрист (право и организация социального обеспечения)</t>
  </si>
  <si>
    <t>03050451</t>
  </si>
  <si>
    <t>юрист (правоохранительная деятельность)</t>
  </si>
  <si>
    <t>03050551</t>
  </si>
  <si>
    <t>художник-мастер (декоративно-прикладное искусство и народные промыслы)</t>
  </si>
  <si>
    <t>07080251</t>
  </si>
  <si>
    <r>
      <t>ОАО "СПМК-7"</t>
    </r>
    <r>
      <rPr>
        <sz val="11"/>
        <rFont val="Times New Roman"/>
        <family val="1"/>
      </rPr>
      <t xml:space="preserve"> - всего</t>
    </r>
  </si>
  <si>
    <t>техник (монтаж и эксплуатация внутренних сантехнических устройств и вентиляции)</t>
  </si>
  <si>
    <t>27011051</t>
  </si>
  <si>
    <r>
      <t>ООО "Завод СМиК"</t>
    </r>
    <r>
      <rPr>
        <sz val="11"/>
        <rFont val="Times New Roman"/>
        <family val="1"/>
      </rPr>
      <t xml:space="preserve"> - всего</t>
    </r>
  </si>
  <si>
    <r>
      <t xml:space="preserve">ООО "Корвет" </t>
    </r>
    <r>
      <rPr>
        <sz val="11"/>
        <rFont val="Times New Roman"/>
        <family val="1"/>
      </rPr>
      <t>- всего</t>
    </r>
  </si>
  <si>
    <r>
      <t xml:space="preserve">ООО "Эльбрус" </t>
    </r>
    <r>
      <rPr>
        <sz val="11"/>
        <rFont val="Times New Roman"/>
        <family val="1"/>
      </rPr>
      <t>- всего</t>
    </r>
  </si>
  <si>
    <r>
      <t>ООО "РТП "Пригородное"</t>
    </r>
    <r>
      <rPr>
        <sz val="11"/>
        <rFont val="Times New Roman"/>
        <family val="1"/>
      </rPr>
      <t xml:space="preserve"> - всего</t>
    </r>
  </si>
  <si>
    <t>техник (пожарная безопасность)</t>
  </si>
  <si>
    <t>28010451</t>
  </si>
  <si>
    <r>
      <t>ООО "АртХолод"</t>
    </r>
    <r>
      <rPr>
        <sz val="11"/>
        <rFont val="Times New Roman"/>
        <family val="1"/>
      </rPr>
      <t>- всего</t>
    </r>
  </si>
  <si>
    <r>
      <t>ООО "Йошкар-Олинская ПМК"</t>
    </r>
    <r>
      <rPr>
        <sz val="11"/>
        <rFont val="Times New Roman"/>
        <family val="1"/>
      </rPr>
      <t xml:space="preserve"> - всего</t>
    </r>
  </si>
  <si>
    <r>
      <t>ООО "Цветной бульвар"</t>
    </r>
    <r>
      <rPr>
        <sz val="11"/>
        <rFont val="Times New Roman"/>
        <family val="1"/>
      </rPr>
      <t xml:space="preserve"> - всего</t>
    </r>
  </si>
  <si>
    <r>
      <t xml:space="preserve">Горномарийское отделение ОАО "Мариэнергосбыт" </t>
    </r>
    <r>
      <rPr>
        <sz val="11"/>
        <rFont val="Times New Roman"/>
        <family val="1"/>
      </rPr>
      <t>- всего</t>
    </r>
  </si>
  <si>
    <r>
      <t>ООО "Горномарийская ПМК"</t>
    </r>
    <r>
      <rPr>
        <sz val="11"/>
        <rFont val="Times New Roman"/>
        <family val="1"/>
      </rPr>
      <t xml:space="preserve"> - всего</t>
    </r>
  </si>
  <si>
    <r>
      <t>Строительные организации</t>
    </r>
    <r>
      <rPr>
        <sz val="11"/>
        <rFont val="Times New Roman"/>
        <family val="1"/>
      </rPr>
      <t xml:space="preserve"> - всего</t>
    </r>
  </si>
  <si>
    <r>
      <t xml:space="preserve">ООО "Кинде" </t>
    </r>
    <r>
      <rPr>
        <sz val="11"/>
        <rFont val="Times New Roman"/>
        <family val="1"/>
      </rPr>
      <t>- всего</t>
    </r>
  </si>
  <si>
    <t>40070143</t>
  </si>
  <si>
    <r>
      <t xml:space="preserve">ООО "Восток" </t>
    </r>
    <r>
      <rPr>
        <sz val="11"/>
        <rFont val="Times New Roman"/>
        <family val="1"/>
      </rPr>
      <t>- всего</t>
    </r>
  </si>
  <si>
    <t>продавец контролер-кассир</t>
  </si>
  <si>
    <t>37020032</t>
  </si>
  <si>
    <t>техник-судоводитель (судовождение и эксплуатация технического флота)</t>
  </si>
  <si>
    <t>18040751</t>
  </si>
  <si>
    <t>специалист по сервису на транспорте</t>
  </si>
  <si>
    <t>10011251</t>
  </si>
  <si>
    <t>техник (электрификаци и атоматизация сесельского хозяйства)</t>
  </si>
  <si>
    <t>11030251</t>
  </si>
  <si>
    <r>
      <t xml:space="preserve">ЗАО "Приволжскагродорстрой" </t>
    </r>
    <r>
      <rPr>
        <sz val="11"/>
        <rFont val="Times New Roman"/>
        <family val="1"/>
      </rPr>
      <t xml:space="preserve"> - всего</t>
    </r>
  </si>
  <si>
    <r>
      <t>МУП "Тепловые сети" МО "Волжский район"</t>
    </r>
    <r>
      <rPr>
        <sz val="11"/>
        <rFont val="Times New Roman"/>
        <family val="1"/>
      </rPr>
      <t xml:space="preserve"> - всего</t>
    </r>
  </si>
  <si>
    <r>
      <t>ОАО "Марэлектрострой"</t>
    </r>
    <r>
      <rPr>
        <sz val="11"/>
        <rFont val="Times New Roman"/>
        <family val="1"/>
      </rPr>
      <t xml:space="preserve"> - всего</t>
    </r>
  </si>
  <si>
    <r>
      <t xml:space="preserve">МП "Куженерводоканал" </t>
    </r>
    <r>
      <rPr>
        <sz val="11"/>
        <rFont val="Times New Roman"/>
        <family val="1"/>
      </rPr>
      <t>- всего</t>
    </r>
  </si>
  <si>
    <r>
      <t>ПК "Медведевская ПМК"</t>
    </r>
    <r>
      <rPr>
        <sz val="11"/>
        <rFont val="Times New Roman"/>
        <family val="1"/>
      </rPr>
      <t>- всего</t>
    </r>
  </si>
  <si>
    <r>
      <t>ОАО "Медведевский водоканал"</t>
    </r>
    <r>
      <rPr>
        <sz val="11"/>
        <rFont val="Times New Roman"/>
        <family val="1"/>
      </rPr>
      <t xml:space="preserve"> - всего</t>
    </r>
  </si>
  <si>
    <r>
      <t xml:space="preserve">ПК "Моркинская ПМК" </t>
    </r>
    <r>
      <rPr>
        <sz val="11"/>
        <rFont val="Times New Roman"/>
        <family val="1"/>
      </rPr>
      <t>- всего</t>
    </r>
  </si>
  <si>
    <r>
      <t xml:space="preserve">ООО "Заготпром Моркинского райпо" </t>
    </r>
    <r>
      <rPr>
        <sz val="11"/>
        <rFont val="Times New Roman"/>
        <family val="1"/>
      </rPr>
      <t>- всего</t>
    </r>
  </si>
  <si>
    <r>
      <t xml:space="preserve">МУП "Новоторъяльский жилсервис" </t>
    </r>
    <r>
      <rPr>
        <sz val="11"/>
        <rFont val="Times New Roman"/>
        <family val="1"/>
      </rPr>
      <t>- всего</t>
    </r>
  </si>
  <si>
    <r>
      <t>МУП "Новоторъяльский водоканал"</t>
    </r>
    <r>
      <rPr>
        <sz val="11"/>
        <rFont val="Times New Roman"/>
        <family val="1"/>
      </rPr>
      <t xml:space="preserve"> - всего</t>
    </r>
  </si>
  <si>
    <r>
      <t>ПК "Оршанская ПМК"</t>
    </r>
    <r>
      <rPr>
        <sz val="11"/>
        <rFont val="Times New Roman"/>
        <family val="1"/>
      </rPr>
      <t xml:space="preserve"> - всего</t>
    </r>
  </si>
  <si>
    <r>
      <t xml:space="preserve">ООО "Параньгинская ПМК" </t>
    </r>
    <r>
      <rPr>
        <sz val="11"/>
        <rFont val="Times New Roman"/>
        <family val="1"/>
      </rPr>
      <t>- всего</t>
    </r>
  </si>
  <si>
    <r>
      <t xml:space="preserve">ОАО "Параньгинская ПМК-8" </t>
    </r>
    <r>
      <rPr>
        <sz val="11"/>
        <rFont val="Times New Roman"/>
        <family val="1"/>
      </rPr>
      <t>- всего</t>
    </r>
  </si>
  <si>
    <r>
      <t xml:space="preserve">ПК "Советская ПМК" </t>
    </r>
    <r>
      <rPr>
        <sz val="11"/>
        <rFont val="Times New Roman"/>
        <family val="1"/>
      </rPr>
      <t>- всего</t>
    </r>
  </si>
  <si>
    <r>
      <t xml:space="preserve">ГУП РМЭ "Таза Лийза" </t>
    </r>
    <r>
      <rPr>
        <sz val="11"/>
        <rFont val="Times New Roman"/>
        <family val="1"/>
      </rPr>
      <t>- всего</t>
    </r>
  </si>
  <si>
    <r>
      <t>МП "КП "Заречный"</t>
    </r>
    <r>
      <rPr>
        <sz val="11"/>
        <rFont val="Times New Roman"/>
        <family val="1"/>
      </rPr>
      <t xml:space="preserve"> - всего</t>
    </r>
  </si>
  <si>
    <r>
      <t xml:space="preserve">МП "Столица" </t>
    </r>
    <r>
      <rPr>
        <sz val="11"/>
        <rFont val="Times New Roman"/>
        <family val="1"/>
      </rPr>
      <t>- всего</t>
    </r>
  </si>
  <si>
    <r>
      <t>ООО ТКП "Жемчуг"</t>
    </r>
    <r>
      <rPr>
        <sz val="11"/>
        <rFont val="Times New Roman"/>
        <family val="1"/>
      </rPr>
      <t xml:space="preserve"> - всего</t>
    </r>
  </si>
  <si>
    <r>
      <t>ООО "Универсал"</t>
    </r>
    <r>
      <rPr>
        <sz val="11"/>
        <rFont val="Times New Roman"/>
        <family val="1"/>
      </rPr>
      <t xml:space="preserve"> - всего</t>
    </r>
  </si>
  <si>
    <r>
      <t xml:space="preserve">ООО "Фрау Мюллер" </t>
    </r>
    <r>
      <rPr>
        <sz val="11"/>
        <rFont val="Times New Roman"/>
        <family val="1"/>
      </rPr>
      <t>- всего</t>
    </r>
  </si>
  <si>
    <r>
      <t>ОАО "ОКТБ Кристалл"</t>
    </r>
    <r>
      <rPr>
        <sz val="11"/>
        <rFont val="Times New Roman"/>
        <family val="1"/>
      </rPr>
      <t xml:space="preserve"> - всего</t>
    </r>
  </si>
  <si>
    <t>инженер (оборудование и технологии сварочного производства)</t>
  </si>
  <si>
    <t>15020265</t>
  </si>
  <si>
    <r>
      <t xml:space="preserve">ООО "Завод порошковых изделий "Купол" </t>
    </r>
    <r>
      <rPr>
        <sz val="11"/>
        <rFont val="Times New Roman"/>
        <family val="1"/>
      </rPr>
      <t>- всего</t>
    </r>
  </si>
  <si>
    <r>
      <t>ООО "Марэл Анимал Нутрицион"</t>
    </r>
    <r>
      <rPr>
        <sz val="11"/>
        <rFont val="Times New Roman"/>
        <family val="1"/>
      </rPr>
      <t xml:space="preserve"> - всего</t>
    </r>
  </si>
  <si>
    <r>
      <t xml:space="preserve">ООО "Волжский транспортный завод" </t>
    </r>
    <r>
      <rPr>
        <sz val="11"/>
        <rFont val="Times New Roman"/>
        <family val="1"/>
      </rPr>
      <t>- всего</t>
    </r>
  </si>
  <si>
    <r>
      <t xml:space="preserve">ООО "Фабрика Анегри" </t>
    </r>
    <r>
      <rPr>
        <sz val="11"/>
        <rFont val="Times New Roman"/>
        <family val="1"/>
      </rPr>
      <t>- всего</t>
    </r>
  </si>
  <si>
    <r>
      <t>ОАО "Йошкар-Олинская обувная фабрика"</t>
    </r>
    <r>
      <rPr>
        <sz val="11"/>
        <rFont val="Times New Roman"/>
        <family val="1"/>
      </rPr>
      <t xml:space="preserve"> - всего</t>
    </r>
  </si>
  <si>
    <r>
      <t xml:space="preserve">ООО "Славяне" </t>
    </r>
    <r>
      <rPr>
        <sz val="11"/>
        <rFont val="Times New Roman"/>
        <family val="1"/>
      </rPr>
      <t>- всего</t>
    </r>
  </si>
  <si>
    <r>
      <t xml:space="preserve">ООО "Перфект" </t>
    </r>
    <r>
      <rPr>
        <sz val="11"/>
        <rFont val="Times New Roman"/>
        <family val="1"/>
      </rPr>
      <t>- всего</t>
    </r>
  </si>
  <si>
    <r>
      <t xml:space="preserve">ООО "Труженица и К" </t>
    </r>
    <r>
      <rPr>
        <sz val="11"/>
        <rFont val="Times New Roman"/>
        <family val="1"/>
      </rPr>
      <t>- всего</t>
    </r>
  </si>
  <si>
    <t>инженер (материаловедение и технология новых материалов)</t>
  </si>
  <si>
    <t>информационная безопасность</t>
  </si>
  <si>
    <t>культура и искусство</t>
  </si>
  <si>
    <t>образование и педагогика</t>
  </si>
  <si>
    <t>конфликтология</t>
  </si>
  <si>
    <t>социальная работа</t>
  </si>
  <si>
    <t>реклама</t>
  </si>
  <si>
    <t>документоведение</t>
  </si>
  <si>
    <t>музеология</t>
  </si>
  <si>
    <t>лингвистика</t>
  </si>
  <si>
    <t>экология и природопользование</t>
  </si>
  <si>
    <t>психология</t>
  </si>
  <si>
    <t>международные отношения</t>
  </si>
  <si>
    <t>проектирование и технология электронных средств</t>
  </si>
  <si>
    <t>радиотехника</t>
  </si>
  <si>
    <t>инженер-конструктор (радиоэлектронные системы и комплексы)</t>
  </si>
  <si>
    <t>инженер (электроэнергетика)</t>
  </si>
  <si>
    <t>15030722</t>
  </si>
  <si>
    <t>старший техник(техническое обслуживание и ремонт автомобильного транспорта)</t>
  </si>
  <si>
    <t>монтаж и техническая эксплуатация промышленного оборудования</t>
  </si>
  <si>
    <t xml:space="preserve">менеджер </t>
  </si>
  <si>
    <r>
      <t xml:space="preserve">ООО "Стиль М" </t>
    </r>
    <r>
      <rPr>
        <sz val="11"/>
        <rFont val="Times New Roman"/>
        <family val="1"/>
      </rPr>
      <t>- всего</t>
    </r>
  </si>
  <si>
    <r>
      <t xml:space="preserve">ООО "Мода" </t>
    </r>
    <r>
      <rPr>
        <sz val="11"/>
        <rFont val="Times New Roman"/>
        <family val="1"/>
      </rPr>
      <t>- всего</t>
    </r>
  </si>
  <si>
    <r>
      <t xml:space="preserve">ООО "Швейник" </t>
    </r>
    <r>
      <rPr>
        <sz val="11"/>
        <rFont val="Times New Roman"/>
        <family val="1"/>
      </rPr>
      <t>- всего</t>
    </r>
  </si>
  <si>
    <r>
      <t>ООО "Волжское экологическое предприятие"</t>
    </r>
    <r>
      <rPr>
        <sz val="11"/>
        <rFont val="Times New Roman"/>
        <family val="1"/>
      </rPr>
      <t>- всего</t>
    </r>
  </si>
  <si>
    <r>
      <t>ООО "Юнион Полис"</t>
    </r>
    <r>
      <rPr>
        <sz val="11"/>
        <rFont val="Times New Roman"/>
        <family val="1"/>
      </rPr>
      <t>- всего</t>
    </r>
  </si>
  <si>
    <r>
      <t>ЗАО "Бутяковец"</t>
    </r>
    <r>
      <rPr>
        <sz val="11"/>
        <rFont val="Times New Roman"/>
        <family val="1"/>
      </rPr>
      <t>- всего</t>
    </r>
  </si>
  <si>
    <r>
      <t xml:space="preserve">Ардинское сельпо </t>
    </r>
    <r>
      <rPr>
        <sz val="11"/>
        <rFont val="Times New Roman"/>
        <family val="1"/>
      </rPr>
      <t>- всего</t>
    </r>
  </si>
  <si>
    <r>
      <t xml:space="preserve">ООО "Пактия" </t>
    </r>
    <r>
      <rPr>
        <sz val="11"/>
        <rFont val="Times New Roman"/>
        <family val="1"/>
      </rPr>
      <t>- всего</t>
    </r>
  </si>
  <si>
    <r>
      <t xml:space="preserve">ПО "Куженерское" </t>
    </r>
    <r>
      <rPr>
        <sz val="11"/>
        <rFont val="Times New Roman"/>
        <family val="1"/>
      </rPr>
      <t>- всего</t>
    </r>
  </si>
  <si>
    <r>
      <t xml:space="preserve">Медведевское райпо </t>
    </r>
    <r>
      <rPr>
        <sz val="11"/>
        <rFont val="Times New Roman"/>
        <family val="1"/>
      </rPr>
      <t>- всего</t>
    </r>
  </si>
  <si>
    <r>
      <t>ООО "Сателлит"</t>
    </r>
    <r>
      <rPr>
        <sz val="11"/>
        <rFont val="Times New Roman"/>
        <family val="1"/>
      </rPr>
      <t xml:space="preserve"> - всего</t>
    </r>
  </si>
  <si>
    <r>
      <t>Параньгинское райпо</t>
    </r>
    <r>
      <rPr>
        <sz val="11"/>
        <rFont val="Times New Roman"/>
        <family val="1"/>
      </rPr>
      <t xml:space="preserve"> - всего</t>
    </r>
  </si>
  <si>
    <r>
      <t>ООО "Кафе "Бистро"</t>
    </r>
    <r>
      <rPr>
        <sz val="11"/>
        <rFont val="Times New Roman"/>
        <family val="1"/>
      </rPr>
      <t xml:space="preserve"> - всего</t>
    </r>
  </si>
  <si>
    <r>
      <t xml:space="preserve">Сернурское райпо </t>
    </r>
    <r>
      <rPr>
        <sz val="11"/>
        <rFont val="Times New Roman"/>
        <family val="1"/>
      </rPr>
      <t>- всего</t>
    </r>
  </si>
  <si>
    <r>
      <t>ГБУ РМЭ "Аэропорт Йошкар-Ола"</t>
    </r>
    <r>
      <rPr>
        <sz val="11"/>
        <rFont val="Times New Roman"/>
        <family val="1"/>
      </rPr>
      <t xml:space="preserve"> - всего</t>
    </r>
  </si>
  <si>
    <r>
      <t xml:space="preserve">УФПС Республики Марий Эл - филиал ФГУП "Почта России" </t>
    </r>
    <r>
      <rPr>
        <sz val="11"/>
        <rFont val="Times New Roman"/>
        <family val="1"/>
      </rPr>
      <t>- всего</t>
    </r>
  </si>
  <si>
    <r>
      <t xml:space="preserve">ГУП РМЭ "Козьмодемьянское АТП" </t>
    </r>
    <r>
      <rPr>
        <sz val="11"/>
        <rFont val="Times New Roman"/>
        <family val="1"/>
      </rPr>
      <t>- всего</t>
    </r>
  </si>
  <si>
    <r>
      <t>ОАО "Порт Козьмодемьянск"</t>
    </r>
    <r>
      <rPr>
        <sz val="11"/>
        <rFont val="Times New Roman"/>
        <family val="1"/>
      </rPr>
      <t>- всего</t>
    </r>
  </si>
  <si>
    <r>
      <t>ГУП РМЭ "Звениговское АТП"</t>
    </r>
    <r>
      <rPr>
        <sz val="11"/>
        <rFont val="Times New Roman"/>
        <family val="1"/>
      </rPr>
      <t>- всего</t>
    </r>
  </si>
  <si>
    <r>
      <t>ОАО "СК "Волжское пароходство"-</t>
    </r>
    <r>
      <rPr>
        <sz val="11"/>
        <rFont val="Times New Roman"/>
        <family val="1"/>
      </rPr>
      <t xml:space="preserve"> всего</t>
    </r>
  </si>
  <si>
    <r>
      <t>МУП "Моркинская МТС"</t>
    </r>
    <r>
      <rPr>
        <sz val="11"/>
        <rFont val="Times New Roman"/>
        <family val="1"/>
      </rPr>
      <t>- всего</t>
    </r>
  </si>
  <si>
    <r>
      <t>Индивидуальные предприниматели сферы бытового обслуживания</t>
    </r>
    <r>
      <rPr>
        <sz val="11"/>
        <rFont val="Times New Roman"/>
        <family val="1"/>
      </rPr>
      <t xml:space="preserve"> - всего</t>
    </r>
  </si>
  <si>
    <r>
      <t>Организации социального обслуживания населения</t>
    </r>
    <r>
      <rPr>
        <sz val="11"/>
        <rFont val="Times New Roman"/>
        <family val="1"/>
      </rPr>
      <t xml:space="preserve"> - всего</t>
    </r>
  </si>
  <si>
    <t>водитель</t>
  </si>
  <si>
    <t>водитель погрузчика</t>
  </si>
  <si>
    <t>обвальщик-жиловщик</t>
  </si>
  <si>
    <t>птицевод (мастер животноводства)</t>
  </si>
  <si>
    <t>рабочий убойного цеха</t>
  </si>
  <si>
    <t>рабочий участка по изготовлению полуфабрикатов</t>
  </si>
  <si>
    <t>41010424</t>
  </si>
  <si>
    <t>слесарь по ремонту автомобилей</t>
  </si>
  <si>
    <t>составитель фарша</t>
  </si>
  <si>
    <t>41020121</t>
  </si>
  <si>
    <t>упаковщик (переработка мяса)</t>
  </si>
  <si>
    <t>формовщик</t>
  </si>
  <si>
    <t>электрогазосварщик, занятый на резке и ручной сварке</t>
  </si>
  <si>
    <t>электромонтёр 4 разряда</t>
  </si>
  <si>
    <t>электромонтёр 5 разряда</t>
  </si>
  <si>
    <t>инженер-механик (технология обслуживания и ремонта машин в АПК)</t>
  </si>
  <si>
    <t>бухгалтер (бухгалтерский учёт и аудит)</t>
  </si>
  <si>
    <t>менеджер по персоналу</t>
  </si>
  <si>
    <t>экономист</t>
  </si>
  <si>
    <r>
      <t>Организации сферы торговли и общественного питания</t>
    </r>
    <r>
      <rPr>
        <sz val="11"/>
        <rFont val="Times New Roman"/>
        <family val="1"/>
      </rPr>
      <t xml:space="preserve"> - всего</t>
    </r>
  </si>
  <si>
    <r>
      <t>Предприятия деревообработки</t>
    </r>
    <r>
      <rPr>
        <sz val="11"/>
        <rFont val="Times New Roman"/>
        <family val="1"/>
      </rPr>
      <t xml:space="preserve"> - всего</t>
    </r>
  </si>
  <si>
    <r>
      <t>Предприятия лесного хозяйства</t>
    </r>
    <r>
      <rPr>
        <sz val="11"/>
        <rFont val="Times New Roman"/>
        <family val="1"/>
      </rPr>
      <t xml:space="preserve"> - всего</t>
    </r>
  </si>
  <si>
    <r>
      <t>ОАО "Советский ветсанутильзавод"</t>
    </r>
    <r>
      <rPr>
        <sz val="11"/>
        <rFont val="Times New Roman"/>
        <family val="1"/>
      </rPr>
      <t xml:space="preserve"> - всего</t>
    </r>
  </si>
  <si>
    <t>технолог (технология продукции общественного питания)</t>
  </si>
  <si>
    <t>26050251</t>
  </si>
  <si>
    <t>менеджер (гостиничный сервис)</t>
  </si>
  <si>
    <t>10010551</t>
  </si>
  <si>
    <t>ВСЕГО потребность по специальностям среднего 
профессионального образования</t>
  </si>
  <si>
    <t xml:space="preserve">техник (технология машиностроения) </t>
  </si>
  <si>
    <t>техник (микроэлектроника и твердотельная электроника)</t>
  </si>
  <si>
    <t>21010451</t>
  </si>
  <si>
    <t>повар, кондитер</t>
  </si>
  <si>
    <t>36020030</t>
  </si>
  <si>
    <t>г.Козьмодемьянск</t>
  </si>
  <si>
    <t>станочник (металлообработка)</t>
  </si>
  <si>
    <t>424000 г. Йошкар-Ола, ул. Машиностроителей, 109</t>
  </si>
  <si>
    <t>425005 г. Волжск, ул. Федина, д.6, корп. 1</t>
  </si>
  <si>
    <t>425000 г. Волжск, Вокзальный проезд, д.4</t>
  </si>
  <si>
    <t>425350 г. Козьмодемьянск, ул. Учебная, 2</t>
  </si>
  <si>
    <t>425290 Килемарский район, с. Арда</t>
  </si>
  <si>
    <t>425570 п. Параньга, ул. Первомайская, 2</t>
  </si>
  <si>
    <t>слесарь механосборочных работ</t>
  </si>
  <si>
    <t>техник (строительство и эксплуатация зданий и сооружений)</t>
  </si>
  <si>
    <t>27010351</t>
  </si>
  <si>
    <t>заточник</t>
  </si>
  <si>
    <t>01180234</t>
  </si>
  <si>
    <t>наладчик машин и оборудования (швейное производство)</t>
  </si>
  <si>
    <t>32070031</t>
  </si>
  <si>
    <t>сборщик верха обуви</t>
  </si>
  <si>
    <t>31020338</t>
  </si>
  <si>
    <t>раскройщик материалов</t>
  </si>
  <si>
    <t>31020137</t>
  </si>
  <si>
    <t>оператор микроэлектронного производства</t>
  </si>
  <si>
    <t>05020042</t>
  </si>
  <si>
    <t>контролер радиоэлектронной аппаратуры и приборов</t>
  </si>
  <si>
    <t>05060136</t>
  </si>
  <si>
    <t>монтажник радиоэлектронной аппаратуры и приборов</t>
  </si>
  <si>
    <t>05060231</t>
  </si>
  <si>
    <t>слесарь-сборщик радиоэлектронной аппаратуры</t>
  </si>
  <si>
    <t>05080239</t>
  </si>
  <si>
    <t>регулировщик радиоэлектронной аппаратуры и приборов</t>
  </si>
  <si>
    <t>05070146</t>
  </si>
  <si>
    <t>424000  г. Йошкар-Ола, ул.Советская, д. 165</t>
  </si>
  <si>
    <t>425005  г. Волжск, ул. Кузьмина, д.16</t>
  </si>
  <si>
    <t>424007 г. Йошкар-Ола, ул. Машиностроителей, д. 107- А</t>
  </si>
  <si>
    <t>37020434</t>
  </si>
  <si>
    <t>кондитер</t>
  </si>
  <si>
    <t>34010323</t>
  </si>
  <si>
    <t>слесарь-ремонтник (ремонт машин и оборудования различного назначения)</t>
  </si>
  <si>
    <t>01130325</t>
  </si>
  <si>
    <t>тестовод</t>
  </si>
  <si>
    <t>34010429</t>
  </si>
  <si>
    <t>37020138</t>
  </si>
  <si>
    <t>плотник</t>
  </si>
  <si>
    <t>15040229</t>
  </si>
  <si>
    <t>маркетолог</t>
  </si>
  <si>
    <t>08011252</t>
  </si>
  <si>
    <t>08010965</t>
  </si>
  <si>
    <t>буфетчик</t>
  </si>
  <si>
    <t>36010333</t>
  </si>
  <si>
    <t>пекарь</t>
  </si>
  <si>
    <r>
      <t xml:space="preserve">ПО "Райпо" </t>
    </r>
    <r>
      <rPr>
        <sz val="11"/>
        <rFont val="Times New Roman"/>
        <family val="1"/>
      </rPr>
      <t>- всего</t>
    </r>
  </si>
  <si>
    <r>
      <t>ООО "Хлебсервис"</t>
    </r>
    <r>
      <rPr>
        <sz val="11"/>
        <rFont val="Times New Roman"/>
        <family val="1"/>
      </rPr>
      <t>- всего</t>
    </r>
  </si>
  <si>
    <r>
      <t xml:space="preserve">ООО "Арабеска" </t>
    </r>
    <r>
      <rPr>
        <sz val="11"/>
        <rFont val="Times New Roman"/>
        <family val="1"/>
      </rPr>
      <t>- всего</t>
    </r>
  </si>
  <si>
    <t>оператор ЭВМ</t>
  </si>
  <si>
    <t>02010037</t>
  </si>
  <si>
    <r>
      <t xml:space="preserve">ООО "Центрсбыт" </t>
    </r>
    <r>
      <rPr>
        <sz val="11"/>
        <rFont val="Times New Roman"/>
        <family val="1"/>
      </rPr>
      <t>- всего</t>
    </r>
  </si>
  <si>
    <r>
      <t xml:space="preserve">ООО "Оршанский водоканал" </t>
    </r>
    <r>
      <rPr>
        <sz val="11"/>
        <rFont val="Times New Roman"/>
        <family val="1"/>
      </rPr>
      <t>- всего</t>
    </r>
  </si>
  <si>
    <r>
      <t xml:space="preserve">МУП "Оршанский жилкомсервис" </t>
    </r>
    <r>
      <rPr>
        <sz val="11"/>
        <rFont val="Times New Roman"/>
        <family val="1"/>
      </rPr>
      <t>- всего</t>
    </r>
  </si>
  <si>
    <t>41010223</t>
  </si>
  <si>
    <t>41010329</t>
  </si>
  <si>
    <t>41020322</t>
  </si>
  <si>
    <t>слесарь-ремонтник 4-5 разряда</t>
  </si>
  <si>
    <t>обвальщик мяса 3-4 разряда</t>
  </si>
  <si>
    <t>жиловщик мяса 3-4 разряда</t>
  </si>
  <si>
    <t>инженер-механик (технология машиностроения)</t>
  </si>
  <si>
    <t>15100165</t>
  </si>
  <si>
    <r>
      <t xml:space="preserve">ООО "Сернурский пищевик" </t>
    </r>
    <r>
      <rPr>
        <sz val="11"/>
        <rFont val="Times New Roman"/>
        <family val="1"/>
      </rPr>
      <t>- всего</t>
    </r>
  </si>
  <si>
    <r>
      <t xml:space="preserve">ООО "Хлебокомбинат Сернурского райпо" </t>
    </r>
    <r>
      <rPr>
        <sz val="11"/>
        <rFont val="Times New Roman"/>
        <family val="1"/>
      </rPr>
      <t>- всего</t>
    </r>
  </si>
  <si>
    <r>
      <t>СПК колхоз "Восход"</t>
    </r>
    <r>
      <rPr>
        <sz val="11"/>
        <rFont val="Times New Roman"/>
        <family val="1"/>
      </rPr>
      <t xml:space="preserve"> - всего</t>
    </r>
  </si>
  <si>
    <r>
      <t>СПК колхоз "Кукнур кундем"</t>
    </r>
    <r>
      <rPr>
        <sz val="11"/>
        <rFont val="Times New Roman"/>
        <family val="1"/>
      </rPr>
      <t xml:space="preserve"> - всего</t>
    </r>
  </si>
  <si>
    <r>
      <t>СПК СХА "Северная"</t>
    </r>
    <r>
      <rPr>
        <sz val="11"/>
        <rFont val="Times New Roman"/>
        <family val="1"/>
      </rPr>
      <t xml:space="preserve"> - всего</t>
    </r>
  </si>
  <si>
    <r>
      <t>СПК колхоз "Мустаевский"</t>
    </r>
    <r>
      <rPr>
        <sz val="11"/>
        <rFont val="Times New Roman"/>
        <family val="1"/>
      </rPr>
      <t xml:space="preserve"> - всего</t>
    </r>
  </si>
  <si>
    <t>машиностроительные технологии и оборудование</t>
  </si>
  <si>
    <t>технологические машины и оборудование</t>
  </si>
  <si>
    <t>материаловедение и технология новых материалов</t>
  </si>
  <si>
    <t>конструкторско-технологическое  обеспечение автоматизированных машиностроительных  производств</t>
  </si>
  <si>
    <t>инженер (технология машиностроения)</t>
  </si>
  <si>
    <t>химическая технология и биотехнология</t>
  </si>
  <si>
    <t>метрология, стандартизация и сертификация</t>
  </si>
  <si>
    <t>биотехнические и медицинские аппараты и системы</t>
  </si>
  <si>
    <t>приборостроение</t>
  </si>
  <si>
    <t>биотехнология</t>
  </si>
  <si>
    <t>безопасность жизнедеятельности в техносфере</t>
  </si>
  <si>
    <t>водные ресурсы и водопользование</t>
  </si>
  <si>
    <t>программное обеспечение вычислительной техники и автоматизированных систем</t>
  </si>
  <si>
    <t>информатика и вычислительная техника</t>
  </si>
  <si>
    <t>инноватика</t>
  </si>
  <si>
    <t>управление и информатика в технических системах</t>
  </si>
  <si>
    <t>туризм</t>
  </si>
  <si>
    <t>сервис</t>
  </si>
  <si>
    <r>
      <t xml:space="preserve">ЗАО "МССМУ-80 "Союзантисептик" </t>
    </r>
    <r>
      <rPr>
        <sz val="11"/>
        <rFont val="Times New Roman"/>
        <family val="1"/>
      </rPr>
      <t>- всего</t>
    </r>
  </si>
  <si>
    <t>специалсит по защите информации</t>
  </si>
  <si>
    <t>09010365</t>
  </si>
  <si>
    <r>
      <t xml:space="preserve">ООО "Медис" </t>
    </r>
    <r>
      <rPr>
        <sz val="11"/>
        <rFont val="Times New Roman"/>
        <family val="1"/>
      </rPr>
      <t>- всего</t>
    </r>
  </si>
  <si>
    <r>
      <t>ООО "Дигрис"</t>
    </r>
    <r>
      <rPr>
        <sz val="11"/>
        <rFont val="Times New Roman"/>
        <family val="1"/>
      </rPr>
      <t xml:space="preserve"> - всего</t>
    </r>
  </si>
  <si>
    <r>
      <t>ООО ТД "Армада-Н"</t>
    </r>
    <r>
      <rPr>
        <sz val="11"/>
        <rFont val="Times New Roman"/>
        <family val="1"/>
      </rPr>
      <t xml:space="preserve"> - всего</t>
    </r>
  </si>
  <si>
    <r>
      <t>ООО "Хотэй"</t>
    </r>
    <r>
      <rPr>
        <sz val="11"/>
        <rFont val="Times New Roman"/>
        <family val="1"/>
      </rPr>
      <t>- всего</t>
    </r>
  </si>
  <si>
    <r>
      <t>ООО "Акбар-М"</t>
    </r>
    <r>
      <rPr>
        <sz val="11"/>
        <rFont val="Times New Roman"/>
        <family val="1"/>
      </rPr>
      <t xml:space="preserve"> - всего</t>
    </r>
  </si>
  <si>
    <r>
      <t>ООО "Современный дом"</t>
    </r>
    <r>
      <rPr>
        <sz val="11"/>
        <rFont val="Times New Roman"/>
        <family val="1"/>
      </rPr>
      <t>- всего</t>
    </r>
  </si>
  <si>
    <r>
      <t>ООО "Энергетическая компания"</t>
    </r>
    <r>
      <rPr>
        <sz val="11"/>
        <rFont val="Times New Roman"/>
        <family val="1"/>
      </rPr>
      <t xml:space="preserve"> - всего</t>
    </r>
  </si>
  <si>
    <r>
      <t>ООО "Корд-Лидер"</t>
    </r>
    <r>
      <rPr>
        <sz val="11"/>
        <rFont val="Times New Roman"/>
        <family val="1"/>
      </rPr>
      <t>- всего</t>
    </r>
  </si>
  <si>
    <t>оптик-оптометрист (медицинская оптика)</t>
  </si>
  <si>
    <t>06011152</t>
  </si>
  <si>
    <r>
      <t xml:space="preserve">МП "Жилсервис" </t>
    </r>
    <r>
      <rPr>
        <sz val="11"/>
        <rFont val="Times New Roman"/>
        <family val="1"/>
      </rPr>
      <t>- всего</t>
    </r>
  </si>
  <si>
    <r>
      <t xml:space="preserve">ООО "Чикаго Рестронс" </t>
    </r>
    <r>
      <rPr>
        <sz val="11"/>
        <rFont val="Times New Roman"/>
        <family val="1"/>
      </rPr>
      <t>- всего</t>
    </r>
  </si>
  <si>
    <r>
      <t xml:space="preserve">ООО "Шелангерские краски" </t>
    </r>
    <r>
      <rPr>
        <sz val="11"/>
        <rFont val="Times New Roman"/>
        <family val="1"/>
      </rPr>
      <t>- всего</t>
    </r>
  </si>
  <si>
    <r>
      <t>ООО "Спектр-М"</t>
    </r>
    <r>
      <rPr>
        <sz val="11"/>
        <rFont val="Times New Roman"/>
        <family val="1"/>
      </rPr>
      <t xml:space="preserve"> - всего</t>
    </r>
  </si>
  <si>
    <r>
      <t xml:space="preserve">ООО "Бордо" </t>
    </r>
    <r>
      <rPr>
        <sz val="11"/>
        <rFont val="Times New Roman"/>
        <family val="1"/>
      </rPr>
      <t>- всего</t>
    </r>
  </si>
  <si>
    <r>
      <t>ООО Компания "БАМ"</t>
    </r>
    <r>
      <rPr>
        <sz val="11"/>
        <rFont val="Times New Roman"/>
        <family val="1"/>
      </rPr>
      <t xml:space="preserve"> - всего</t>
    </r>
  </si>
  <si>
    <r>
      <t>ООО фирма "Инструмент-Н"</t>
    </r>
    <r>
      <rPr>
        <sz val="11"/>
        <rFont val="Times New Roman"/>
        <family val="1"/>
      </rPr>
      <t xml:space="preserve"> - всего</t>
    </r>
  </si>
  <si>
    <t>токарь-универсал</t>
  </si>
  <si>
    <t>01160036</t>
  </si>
  <si>
    <r>
      <t>ООО "ПО "КАНН"</t>
    </r>
    <r>
      <rPr>
        <sz val="11"/>
        <rFont val="Times New Roman"/>
        <family val="1"/>
      </rPr>
      <t xml:space="preserve"> - всего</t>
    </r>
  </si>
  <si>
    <t>III. Специальности высшег профессионального образования</t>
  </si>
  <si>
    <t>35010029</t>
  </si>
  <si>
    <t xml:space="preserve">аппаратчик элеваторного, мукомольного, крупяного и комбикормового производства     </t>
  </si>
  <si>
    <t>социальный работник*</t>
  </si>
  <si>
    <t>265276</t>
  </si>
  <si>
    <t>бармен</t>
  </si>
  <si>
    <t>36010238</t>
  </si>
  <si>
    <t>официант</t>
  </si>
  <si>
    <t>36010132</t>
  </si>
  <si>
    <t>425030 Волжский район, п. Приволжский, ул. Заводская, 1</t>
  </si>
  <si>
    <t>424000  г. Йошкар-Ола, ул. Машиностроителей, д.107</t>
  </si>
  <si>
    <t>424000  г. Йошкар-Ола, ул. Крылова д. 63</t>
  </si>
  <si>
    <t>425550 п. Куженер, ул. Строителей, 15</t>
  </si>
  <si>
    <t>15150320</t>
  </si>
  <si>
    <t>оператор в производстве изделий из пластмасс</t>
  </si>
  <si>
    <t xml:space="preserve">14020029   </t>
  </si>
  <si>
    <t>425120 п. Морки, ул. Трудовые резервы, 22</t>
  </si>
  <si>
    <t>425440 п. Новый Торъял, ул. Юбилейная, 4</t>
  </si>
  <si>
    <t>техник (технология хранения и переработки зерна)</t>
  </si>
  <si>
    <t>26020151</t>
  </si>
  <si>
    <t>34010228</t>
  </si>
  <si>
    <t>наладчик оборудования в производстве пищевой продукции</t>
  </si>
  <si>
    <t>41060043</t>
  </si>
  <si>
    <t>мастер растениеводства</t>
  </si>
  <si>
    <t>40020024</t>
  </si>
  <si>
    <t>425570 п. Параньга, ул. Мира, 1</t>
  </si>
  <si>
    <t>Юр. адрес:  Медведевский район, 16 км автодороги Йошкар-Ола–Зеленодольск
Почт. адрес: 424036,  г.Йошкар-Ола, ул.Пролетарская, д.26</t>
  </si>
  <si>
    <t>424036 г.Йошкар-Ола, ул.Пролетарская, д.26</t>
  </si>
  <si>
    <t>425030 Волжский район, п. Приволжский, пр. Строительный, 2</t>
  </si>
  <si>
    <t>424033, г. Йошкар-Ола, ул. Эшкинина, д.22 а</t>
  </si>
  <si>
    <t>424000, г. Йошкар-Ола, ул. Красноармейская, д.91</t>
  </si>
  <si>
    <t>продавец продовольственных товаров</t>
  </si>
  <si>
    <t xml:space="preserve"> -</t>
  </si>
  <si>
    <t>Наименование профессии (специальности)</t>
  </si>
  <si>
    <t>кассир торгового зала</t>
  </si>
  <si>
    <t>продавец непродовольственных товаров</t>
  </si>
  <si>
    <t>водитель автотранспортных средств</t>
  </si>
  <si>
    <t>бухгалтер</t>
  </si>
  <si>
    <t>слесарь по техническому обслуживанию и ремонту автотранспортных средств</t>
  </si>
  <si>
    <t>24010233</t>
  </si>
  <si>
    <t>электромонтер по ремонту и обслуживанию электрооборудования</t>
  </si>
  <si>
    <t>01200132</t>
  </si>
  <si>
    <t>товаровед</t>
  </si>
  <si>
    <t>08040251</t>
  </si>
  <si>
    <t>водитель автомобиля</t>
  </si>
  <si>
    <t>39090232</t>
  </si>
  <si>
    <t>менеджер</t>
  </si>
  <si>
    <t>08050151</t>
  </si>
  <si>
    <t>425250, п. Оршанка,  ул. Палантая, д.18</t>
  </si>
  <si>
    <t>425450, п. Сернур,  ул. Комсомольская, д.3 а</t>
  </si>
  <si>
    <t>425570, п. Параньга, ул. Тукаевская, д. 64</t>
  </si>
  <si>
    <t>424000, г Йошкар-Ола, Ленинский проспект, д. 27</t>
  </si>
  <si>
    <t>424000 г. Йошкар-Ола, ул. Машиностроителей, д. 16</t>
  </si>
  <si>
    <t>425400 п. Советский,  ул. Свободы, д. 2</t>
  </si>
  <si>
    <r>
      <t xml:space="preserve">ООО "Хлебокомбинат Моркинского райпо" </t>
    </r>
    <r>
      <rPr>
        <sz val="11"/>
        <rFont val="Times New Roman"/>
        <family val="1"/>
      </rPr>
      <t>- всего</t>
    </r>
  </si>
  <si>
    <r>
      <t xml:space="preserve">ООО "Жилкомсервис" </t>
    </r>
    <r>
      <rPr>
        <sz val="11"/>
        <rFont val="Times New Roman"/>
        <family val="1"/>
      </rPr>
      <t>- всего</t>
    </r>
  </si>
  <si>
    <r>
      <t>ООО "ПМК-9"</t>
    </r>
    <r>
      <rPr>
        <sz val="11"/>
        <rFont val="Times New Roman"/>
        <family val="1"/>
      </rPr>
      <t xml:space="preserve"> - всего</t>
    </r>
  </si>
  <si>
    <r>
      <t xml:space="preserve">ООО "Швейная фабрика спецснаряжения" </t>
    </r>
    <r>
      <rPr>
        <sz val="11"/>
        <rFont val="Times New Roman"/>
        <family val="1"/>
      </rPr>
      <t>- всего</t>
    </r>
  </si>
  <si>
    <r>
      <t>ООО "Молочные продукты"</t>
    </r>
    <r>
      <rPr>
        <sz val="11"/>
        <rFont val="Times New Roman"/>
        <family val="1"/>
      </rPr>
      <t xml:space="preserve"> - всего</t>
    </r>
  </si>
  <si>
    <r>
      <t xml:space="preserve">ООО "Агро-БИНГ" </t>
    </r>
    <r>
      <rPr>
        <sz val="11"/>
        <rFont val="Times New Roman"/>
        <family val="1"/>
      </rPr>
      <t>- всего</t>
    </r>
  </si>
  <si>
    <r>
      <t xml:space="preserve">ООО "Тумьюмучаш" </t>
    </r>
    <r>
      <rPr>
        <sz val="11"/>
        <rFont val="Times New Roman"/>
        <family val="1"/>
      </rPr>
      <t>- всего</t>
    </r>
  </si>
  <si>
    <r>
      <t xml:space="preserve">ООО "Шема" </t>
    </r>
    <r>
      <rPr>
        <sz val="11"/>
        <rFont val="Times New Roman"/>
        <family val="1"/>
      </rPr>
      <t>- всего</t>
    </r>
  </si>
  <si>
    <t>Предполагаемая численность работников</t>
  </si>
  <si>
    <t>Потребность в рабочих и специалистах, чел.</t>
  </si>
  <si>
    <t>Код по клас-сифика-тору</t>
  </si>
  <si>
    <t>20050023</t>
  </si>
  <si>
    <t>425290 Килемарский район, с Арда</t>
  </si>
  <si>
    <t>425550 п. Куженер, ул. Кирова, 12</t>
  </si>
  <si>
    <t>425200 п.Медведево, ул.Юбилейная 1а</t>
  </si>
  <si>
    <t>425000 г. Козьмодемьянск, ул. Гагарина, д. 49</t>
  </si>
  <si>
    <t>тракторист-машинист</t>
  </si>
  <si>
    <t>мастер по техническому обслуживанию и ремонту машинно-тракторного парка</t>
  </si>
  <si>
    <t>40060035</t>
  </si>
  <si>
    <t>26030351</t>
  </si>
  <si>
    <t>15030121</t>
  </si>
  <si>
    <t>мастер отделочных строительных работ</t>
  </si>
  <si>
    <t>15020037</t>
  </si>
  <si>
    <t>01230131</t>
  </si>
  <si>
    <t>17050137</t>
  </si>
  <si>
    <t>15020221</t>
  </si>
  <si>
    <t>15020132</t>
  </si>
  <si>
    <t>36020136</t>
  </si>
  <si>
    <t>32070226</t>
  </si>
  <si>
    <t>электромонтажник электрических сетей и электрооборудования</t>
  </si>
  <si>
    <t>15170044</t>
  </si>
  <si>
    <t>02010165</t>
  </si>
  <si>
    <t>химик</t>
  </si>
  <si>
    <t>бакалавр техники и технологии (технология, оборудование и автоматизация машиностроительных производств)</t>
  </si>
  <si>
    <t>15090062</t>
  </si>
  <si>
    <t>инженер (техника и физика низких температур)</t>
  </si>
  <si>
    <t>14040165</t>
  </si>
  <si>
    <t>инженер (холодильная, криогенная техника и кондиционирование)</t>
  </si>
  <si>
    <t>14050465</t>
  </si>
  <si>
    <t>инженер (стандартизация и сертификация)</t>
  </si>
  <si>
    <t>20050365</t>
  </si>
  <si>
    <t>наладчик холодноштамповочного оборудования</t>
  </si>
  <si>
    <t>слесарь по строительно-монтажным работам</t>
  </si>
  <si>
    <t>15150024</t>
  </si>
  <si>
    <t>Утвержден на заседании Республиканского координационного совета по подготовке квалифицированных рабочих и специалистов 10 июля 2013 г.</t>
  </si>
  <si>
    <t>Оптовая и розничная торговля; ремонт автотранспортных средств, мотоциклов, бытовых изделий и предметов личного пользования. Гостиницы и рестораны</t>
  </si>
  <si>
    <t>Транспорт и связь</t>
  </si>
  <si>
    <t>Строительство и жилищно-коммунальное хозяйство</t>
  </si>
  <si>
    <t>Промышленность</t>
  </si>
  <si>
    <t>Лесное хозяйство</t>
  </si>
  <si>
    <t>Сельское хозяйство</t>
  </si>
  <si>
    <t>лаборант-эколог (широкого профиля)</t>
  </si>
  <si>
    <t>машинист крана (крановщик)</t>
  </si>
  <si>
    <t>15070041</t>
  </si>
  <si>
    <t>оператор производственного участка (хлебопекарное производство)</t>
  </si>
  <si>
    <t>34020020</t>
  </si>
  <si>
    <t>слесарь-ремонтник</t>
  </si>
  <si>
    <t>мастер животноводства широкого профиля</t>
  </si>
  <si>
    <t>40010020</t>
  </si>
  <si>
    <t>бакалавр техники и технологии (строительство)</t>
  </si>
  <si>
    <t>27010062</t>
  </si>
  <si>
    <t>40040245</t>
  </si>
  <si>
    <t>фермер (организация фермерского хозяйства)</t>
  </si>
  <si>
    <t>11110151</t>
  </si>
  <si>
    <t>инженер (электрификация и автоматизация сельского хозяйства)</t>
  </si>
  <si>
    <t>11030265</t>
  </si>
  <si>
    <t>слесарь</t>
  </si>
  <si>
    <t>01130035</t>
  </si>
  <si>
    <t>техник (технология молока и молочных продуктов)</t>
  </si>
  <si>
    <t>26030365</t>
  </si>
  <si>
    <t>к</t>
  </si>
  <si>
    <t>м</t>
  </si>
  <si>
    <t>г. Йошкар-Ола</t>
  </si>
  <si>
    <t>Советский район</t>
  </si>
  <si>
    <t>Сернурский район</t>
  </si>
  <si>
    <t>Параньгинский район</t>
  </si>
  <si>
    <t>Оршанский район</t>
  </si>
  <si>
    <t>Новоторъяльский район</t>
  </si>
  <si>
    <t>Моркинский район</t>
  </si>
  <si>
    <t>Медведевский район</t>
  </si>
  <si>
    <t>Мари-Турекский район</t>
  </si>
  <si>
    <t>Куженерский район</t>
  </si>
  <si>
    <t>Килемарский район</t>
  </si>
  <si>
    <t>Звениговский район</t>
  </si>
  <si>
    <t>Горномарийский район</t>
  </si>
  <si>
    <t>Волжский район</t>
  </si>
  <si>
    <t>г. Волжск</t>
  </si>
  <si>
    <t>г. Козьмодемьянск</t>
  </si>
  <si>
    <t>424006  г. Йошкар-Ола, Кокшайский пр., д. 41</t>
  </si>
  <si>
    <t>425200  п.Медведево, ул. Чехова, д.18</t>
  </si>
  <si>
    <t>610014 Кировская обл., г. Киров, ул. Петелина, 19</t>
  </si>
  <si>
    <t>I. Профессии начального профессионального образования</t>
  </si>
  <si>
    <t>II. Специальности среднего профессионального образования</t>
  </si>
  <si>
    <r>
      <t xml:space="preserve">2014 </t>
    </r>
    <r>
      <rPr>
        <sz val="10"/>
        <rFont val="Times New Roman"/>
        <family val="1"/>
      </rPr>
      <t>год</t>
    </r>
  </si>
  <si>
    <r>
      <t xml:space="preserve">2015 </t>
    </r>
    <r>
      <rPr>
        <sz val="10"/>
        <rFont val="Times New Roman"/>
        <family val="1"/>
      </rPr>
      <t>год</t>
    </r>
  </si>
  <si>
    <t>№ п/п</t>
  </si>
  <si>
    <t>Наименование предприятия</t>
  </si>
  <si>
    <t>Юридический адрес предприятия</t>
  </si>
  <si>
    <t>Крупные и средние предприятия</t>
  </si>
  <si>
    <t>425070 Звениговский район, п Шелангер, ул 60 лет Победы, д 2</t>
  </si>
  <si>
    <t>032000</t>
  </si>
  <si>
    <t>080000</t>
  </si>
  <si>
    <t>090100</t>
  </si>
  <si>
    <t>100100</t>
  </si>
  <si>
    <t>100200</t>
  </si>
  <si>
    <t>150200</t>
  </si>
  <si>
    <t>Акушерское дело</t>
  </si>
  <si>
    <t>06010251</t>
  </si>
  <si>
    <t>Фармация</t>
  </si>
  <si>
    <t>06010851</t>
  </si>
  <si>
    <t>Сестринское дело</t>
  </si>
  <si>
    <t>06010951</t>
  </si>
  <si>
    <t>Лечебное дело</t>
  </si>
  <si>
    <t>06010152</t>
  </si>
  <si>
    <t>Лабораторная диагностика</t>
  </si>
  <si>
    <t>06011051</t>
  </si>
  <si>
    <t>23010565</t>
  </si>
  <si>
    <t>190200</t>
  </si>
  <si>
    <t>240900</t>
  </si>
  <si>
    <t>280300</t>
  </si>
  <si>
    <t>02080062</t>
  </si>
  <si>
    <t>03030165</t>
  </si>
  <si>
    <t>03050062</t>
  </si>
  <si>
    <t>03070062</t>
  </si>
  <si>
    <t>03110062</t>
  </si>
  <si>
    <t>03150265</t>
  </si>
  <si>
    <t>03240165</t>
  </si>
  <si>
    <t>04010062</t>
  </si>
  <si>
    <t>04030062</t>
  </si>
  <si>
    <t>050000</t>
  </si>
  <si>
    <t>070000</t>
  </si>
  <si>
    <t>08010062</t>
  </si>
  <si>
    <t>08070062</t>
  </si>
  <si>
    <t>08080062</t>
  </si>
  <si>
    <t>11030062</t>
  </si>
  <si>
    <t>12030062</t>
  </si>
  <si>
    <t>21020062</t>
  </si>
  <si>
    <t>21030062</t>
  </si>
  <si>
    <t>15040062</t>
  </si>
  <si>
    <t>15060062</t>
  </si>
  <si>
    <t>15100062</t>
  </si>
  <si>
    <t>20010062</t>
  </si>
  <si>
    <t>20040165</t>
  </si>
  <si>
    <t>20050062</t>
  </si>
  <si>
    <t>22020165</t>
  </si>
  <si>
    <t>22060062</t>
  </si>
  <si>
    <t>23010062</t>
  </si>
  <si>
    <t>24010062</t>
  </si>
  <si>
    <t>25010062</t>
  </si>
  <si>
    <t>25020365</t>
  </si>
  <si>
    <t>28010165</t>
  </si>
  <si>
    <t>Сельское и лесное хозяйство</t>
  </si>
  <si>
    <t>425208 Медведевский район, п. Юбилейный, ул. Производственная</t>
  </si>
  <si>
    <t>425430 Новоторъяльский район, д.Чуксола</t>
  </si>
  <si>
    <t>425210 Медведевский район, с. Шойбулак, ул. Мира, 15</t>
  </si>
  <si>
    <t>425527 Мари-Турекский район, д. Б-Карлыган, ул. Багаева, 2</t>
  </si>
  <si>
    <t>транспортные машины и транспортно-технологические комплексы</t>
  </si>
  <si>
    <t>электроника и микроэлектроника</t>
  </si>
  <si>
    <t>425250 п. Оршанка, ул. Советская, 216</t>
  </si>
  <si>
    <t>425567 Куженерский район,  с. Юледур</t>
  </si>
  <si>
    <t>425019 Волжский район, с.Эмеково, ул.Советская, д.4</t>
  </si>
  <si>
    <t>425073 Звениговский район, с.Кужмара</t>
  </si>
  <si>
    <t>425500 Мари-Турекский район, д.Сысоево, ул.Центральная усадьба, 1</t>
  </si>
  <si>
    <t>40040446</t>
  </si>
  <si>
    <t>зоотехник</t>
  </si>
  <si>
    <t>11040151</t>
  </si>
  <si>
    <t>старший агроном</t>
  </si>
  <si>
    <t>11020152</t>
  </si>
  <si>
    <t>инженер (технология обслуживания и ремонта машин в агропромышленном комплексе)</t>
  </si>
  <si>
    <t>11030465</t>
  </si>
  <si>
    <t>станочник в деревообработке</t>
  </si>
  <si>
    <t>17040021</t>
  </si>
  <si>
    <t>сборщик изделий из древесины</t>
  </si>
  <si>
    <t>обойщик мебели</t>
  </si>
  <si>
    <t>17050522</t>
  </si>
  <si>
    <r>
      <t xml:space="preserve">МУП "Горномарийская МТС" </t>
    </r>
    <r>
      <rPr>
        <sz val="11"/>
        <rFont val="Times New Roman"/>
        <family val="1"/>
      </rPr>
      <t>- всего</t>
    </r>
  </si>
  <si>
    <r>
      <t xml:space="preserve">СПО "Горномарийское" - </t>
    </r>
    <r>
      <rPr>
        <sz val="11"/>
        <rFont val="Times New Roman"/>
        <family val="1"/>
      </rPr>
      <t>всего</t>
    </r>
  </si>
  <si>
    <r>
      <t xml:space="preserve">ООО "Виловатово" </t>
    </r>
    <r>
      <rPr>
        <sz val="11"/>
        <rFont val="Times New Roman"/>
        <family val="1"/>
      </rPr>
      <t>- всего</t>
    </r>
  </si>
  <si>
    <r>
      <t xml:space="preserve">ООО "Посейдон" </t>
    </r>
    <r>
      <rPr>
        <sz val="11"/>
        <rFont val="Times New Roman"/>
        <family val="1"/>
      </rPr>
      <t>- всего</t>
    </r>
  </si>
  <si>
    <r>
      <t xml:space="preserve">ООО "Еласовское водоснабжение" </t>
    </r>
    <r>
      <rPr>
        <sz val="11"/>
        <rFont val="Times New Roman"/>
        <family val="1"/>
      </rPr>
      <t>- всего</t>
    </r>
  </si>
  <si>
    <r>
      <t xml:space="preserve">ООО "Надежда" - </t>
    </r>
    <r>
      <rPr>
        <sz val="11"/>
        <rFont val="Times New Roman"/>
        <family val="1"/>
      </rPr>
      <t>всего</t>
    </r>
  </si>
  <si>
    <r>
      <t xml:space="preserve">ООО "Кузнецовский" </t>
    </r>
    <r>
      <rPr>
        <sz val="11"/>
        <rFont val="Times New Roman"/>
        <family val="1"/>
      </rPr>
      <t>- всего</t>
    </r>
  </si>
  <si>
    <r>
      <t xml:space="preserve">ООО "Стройбетон" </t>
    </r>
    <r>
      <rPr>
        <sz val="11"/>
        <rFont val="Times New Roman"/>
        <family val="1"/>
      </rPr>
      <t>- всего</t>
    </r>
  </si>
  <si>
    <r>
      <t>ООО "Гостинично-ресторанный комплекс "Ариада"</t>
    </r>
    <r>
      <rPr>
        <sz val="11"/>
        <rFont val="Times New Roman"/>
        <family val="1"/>
      </rPr>
      <t>- всего</t>
    </r>
  </si>
  <si>
    <r>
      <t xml:space="preserve">ООО "Лига-Н" </t>
    </r>
    <r>
      <rPr>
        <sz val="11"/>
        <rFont val="Times New Roman"/>
        <family val="1"/>
      </rPr>
      <t>- всего</t>
    </r>
  </si>
  <si>
    <r>
      <t>ООО "Интерком"</t>
    </r>
    <r>
      <rPr>
        <sz val="11"/>
        <rFont val="Times New Roman"/>
        <family val="1"/>
      </rPr>
      <t>- всего</t>
    </r>
  </si>
  <si>
    <t>телеоператор</t>
  </si>
  <si>
    <t>инженер (средства связи с подвижными объектами)</t>
  </si>
  <si>
    <t>07110565</t>
  </si>
  <si>
    <t>21040265</t>
  </si>
  <si>
    <r>
      <t>ООО "Волжское"</t>
    </r>
    <r>
      <rPr>
        <sz val="11"/>
        <rFont val="Times New Roman"/>
        <family val="1"/>
      </rPr>
      <t>- всего</t>
    </r>
  </si>
  <si>
    <t>охотовед</t>
  </si>
  <si>
    <t>11070151</t>
  </si>
  <si>
    <t>ихтиолог-рыбовод</t>
  </si>
  <si>
    <t>11090165</t>
  </si>
  <si>
    <r>
      <t xml:space="preserve">ЧУ "Пансионат "Яльчик" - </t>
    </r>
    <r>
      <rPr>
        <sz val="11"/>
        <rFont val="Times New Roman"/>
        <family val="1"/>
      </rPr>
      <t>всего</t>
    </r>
  </si>
  <si>
    <r>
      <t xml:space="preserve">Новоторъяльское райпо </t>
    </r>
    <r>
      <rPr>
        <sz val="11"/>
        <rFont val="Times New Roman"/>
        <family val="1"/>
      </rPr>
      <t>- всего</t>
    </r>
  </si>
  <si>
    <r>
      <t xml:space="preserve">ООО "Марилессервис" </t>
    </r>
    <r>
      <rPr>
        <sz val="11"/>
        <rFont val="Times New Roman"/>
        <family val="1"/>
      </rPr>
      <t>- всего</t>
    </r>
  </si>
  <si>
    <r>
      <t xml:space="preserve">ГКУ "Куженерское лесничество" </t>
    </r>
    <r>
      <rPr>
        <sz val="11"/>
        <rFont val="Times New Roman"/>
        <family val="1"/>
      </rPr>
      <t>- всего</t>
    </r>
  </si>
  <si>
    <r>
      <t>ООО "Куженерский хлебозавод"</t>
    </r>
    <r>
      <rPr>
        <sz val="11"/>
        <rFont val="Times New Roman"/>
        <family val="1"/>
      </rPr>
      <t xml:space="preserve"> - всего</t>
    </r>
  </si>
  <si>
    <r>
      <t xml:space="preserve">ООО "Альбатрос" </t>
    </r>
    <r>
      <rPr>
        <sz val="11"/>
        <rFont val="Times New Roman"/>
        <family val="1"/>
      </rPr>
      <t>- всего</t>
    </r>
  </si>
  <si>
    <r>
      <t xml:space="preserve">ООО "Она и К" </t>
    </r>
    <r>
      <rPr>
        <sz val="11"/>
        <rFont val="Times New Roman"/>
        <family val="1"/>
      </rPr>
      <t>- всего</t>
    </r>
  </si>
  <si>
    <t>повар</t>
  </si>
  <si>
    <r>
      <t xml:space="preserve">ООО "Куженерлес" </t>
    </r>
    <r>
      <rPr>
        <sz val="11"/>
        <rFont val="Times New Roman"/>
        <family val="1"/>
      </rPr>
      <t>- всего</t>
    </r>
  </si>
  <si>
    <r>
      <t xml:space="preserve">ООО "Верх-Ушут" </t>
    </r>
    <r>
      <rPr>
        <sz val="11"/>
        <rFont val="Times New Roman"/>
        <family val="1"/>
      </rPr>
      <t>- всего</t>
    </r>
  </si>
  <si>
    <t>40070134</t>
  </si>
  <si>
    <t>электросварщик ручной сварки</t>
  </si>
  <si>
    <t>01100436</t>
  </si>
  <si>
    <t>фрезеровщик</t>
  </si>
  <si>
    <t>01230044</t>
  </si>
  <si>
    <t>стропальщик</t>
  </si>
  <si>
    <t>15030521</t>
  </si>
  <si>
    <t>машинист крана автомобильного</t>
  </si>
  <si>
    <t>15060137</t>
  </si>
  <si>
    <t>слесарь по сборке металлоконструкций</t>
  </si>
  <si>
    <t>15150225</t>
  </si>
  <si>
    <t>инженер (производство строительных материалов, изделий и конструкций)</t>
  </si>
  <si>
    <t>моторист бетоносмесительных установок</t>
  </si>
  <si>
    <t>20050321</t>
  </si>
  <si>
    <t>контролер качества</t>
  </si>
  <si>
    <t>29030128</t>
  </si>
  <si>
    <t>изготовитель железобетонных изделий</t>
  </si>
  <si>
    <t>27010665</t>
  </si>
  <si>
    <t>III. Специальности высшего  профессионального образования</t>
  </si>
  <si>
    <t>инженер (водоснабжение и водоотведение)</t>
  </si>
  <si>
    <t>27011265</t>
  </si>
  <si>
    <t>08011051</t>
  </si>
  <si>
    <t>инженер-эколог (инженерная защита окружающей среды)</t>
  </si>
  <si>
    <t>28020265</t>
  </si>
  <si>
    <t>ветеринарный врач (ветеринария)</t>
  </si>
  <si>
    <t>инженер (машины и аппараты пищевых производств)</t>
  </si>
  <si>
    <t>26060165</t>
  </si>
  <si>
    <t>11120165</t>
  </si>
  <si>
    <t>биолог</t>
  </si>
  <si>
    <t>02020165</t>
  </si>
  <si>
    <t>инженер (электроэнергетика и электротехника)</t>
  </si>
  <si>
    <r>
      <t>ООО «Полиграфическая компания «Принтстайл»,</t>
    </r>
    <r>
      <rPr>
        <sz val="11"/>
        <rFont val="Times New Roman"/>
        <family val="1"/>
      </rPr>
      <t xml:space="preserve"> всего</t>
    </r>
  </si>
  <si>
    <t>Водитель автомобиля</t>
  </si>
  <si>
    <t>ООО «Русский Пеллет</t>
  </si>
  <si>
    <t>Контролер радиоэлектронной аппаратуры (РЭА) и приборов</t>
  </si>
  <si>
    <t>Контролер станочных и слесарных работ</t>
  </si>
  <si>
    <t>Маляр</t>
  </si>
  <si>
    <t>Регулировщик радиоэлектронной аппаратуры</t>
  </si>
  <si>
    <t>Слесарь - механик радиоэлектронной аппаратуры</t>
  </si>
  <si>
    <t>Слесарь - ремонтник</t>
  </si>
  <si>
    <t>Слесарь - сборщик радиоэлектронной аппаратуры и приборов</t>
  </si>
  <si>
    <t>Токарь - расточник</t>
  </si>
  <si>
    <t>Ведущий инженер - конструктор</t>
  </si>
  <si>
    <t>Ведущий экономист</t>
  </si>
  <si>
    <t>Инженер - конструктор</t>
  </si>
  <si>
    <t>Инженер - конструктор 1 категории</t>
  </si>
  <si>
    <t>Инженер - конструктор 3 категории</t>
  </si>
  <si>
    <t xml:space="preserve">мастер производства цельномолочной и кисломолочной продукции
</t>
  </si>
  <si>
    <t>обвальщик мяса</t>
  </si>
  <si>
    <t>изготовитель мясных полуфабрикатов</t>
  </si>
  <si>
    <t>фаршемесильщик</t>
  </si>
  <si>
    <t>формовщик колбасных изделий</t>
  </si>
  <si>
    <t>экономика и управление</t>
  </si>
  <si>
    <t>бизнес-информатика</t>
  </si>
  <si>
    <t>прикладная информатика</t>
  </si>
  <si>
    <t>экономист-менеджер</t>
  </si>
  <si>
    <t>экономика</t>
  </si>
  <si>
    <t>14060135</t>
  </si>
  <si>
    <t>контролер</t>
  </si>
  <si>
    <t xml:space="preserve">слесарь-механик по радиоэлектронной аппаратуре
</t>
  </si>
  <si>
    <t>Инженер - технолог</t>
  </si>
  <si>
    <t>Инженер - технолог 2 категории</t>
  </si>
  <si>
    <r>
      <t xml:space="preserve">ЗАО «Портал», </t>
    </r>
    <r>
      <rPr>
        <sz val="11"/>
        <rFont val="Times New Roman"/>
        <family val="1"/>
      </rPr>
      <t>всего</t>
    </r>
  </si>
  <si>
    <t>Инженер - программист</t>
  </si>
  <si>
    <t>Экономист</t>
  </si>
  <si>
    <r>
      <t xml:space="preserve">ООО «Марийский свинокомплекс», </t>
    </r>
    <r>
      <rPr>
        <sz val="11"/>
        <rFont val="Times New Roman"/>
        <family val="1"/>
      </rPr>
      <t>всего</t>
    </r>
    <r>
      <rPr>
        <b/>
        <sz val="11"/>
        <rFont val="Times New Roman"/>
        <family val="1"/>
      </rPr>
      <t xml:space="preserve"> </t>
    </r>
  </si>
  <si>
    <t>Электромонтер по ремонту и обслуживанию электрооборудования</t>
  </si>
  <si>
    <r>
      <t xml:space="preserve">ООО «Митсуба Теклас Рус», </t>
    </r>
    <r>
      <rPr>
        <sz val="11"/>
        <rFont val="Times New Roman"/>
        <family val="1"/>
      </rPr>
      <t>всегда</t>
    </r>
  </si>
  <si>
    <r>
      <t xml:space="preserve">ООО «Теклас», </t>
    </r>
    <r>
      <rPr>
        <sz val="11"/>
        <rFont val="Times New Roman"/>
        <family val="1"/>
      </rPr>
      <t>всего</t>
    </r>
  </si>
  <si>
    <t>Слесарь-ремонтник (ремонт машин и оборудования различного назначения)</t>
  </si>
  <si>
    <t>Слесарь по контрольно-измерительным приборам и автоматике</t>
  </si>
  <si>
    <t>Химик</t>
  </si>
  <si>
    <t>Инженер (автоматизированное производство химических предприятий)</t>
  </si>
  <si>
    <t>Инженер (проектирование технических и технологических комплексов)</t>
  </si>
  <si>
    <r>
      <t xml:space="preserve">ООО «Премьер Авто», </t>
    </r>
    <r>
      <rPr>
        <sz val="11"/>
        <rFont val="Times New Roman"/>
        <family val="1"/>
      </rPr>
      <t>всего</t>
    </r>
  </si>
  <si>
    <t>Марийские тепловые сети Филиала ОАО «ТГК-5» «Марий Эл и Чувашии»</t>
  </si>
  <si>
    <t>инженер (технология молока и молочных продуктов)</t>
  </si>
  <si>
    <t>инженер (технология хлеба, кондитерских и макаронных изделий)</t>
  </si>
  <si>
    <t>26020265</t>
  </si>
  <si>
    <t>экономист (финансы и кредит)</t>
  </si>
  <si>
    <t>08010565</t>
  </si>
  <si>
    <t>технолог (технология производства и переработки сельскохозяйственной продукции)</t>
  </si>
  <si>
    <t>11030565</t>
  </si>
  <si>
    <t>1</t>
  </si>
  <si>
    <t>ученый агроном</t>
  </si>
  <si>
    <t>11020165</t>
  </si>
  <si>
    <t>зооинженер</t>
  </si>
  <si>
    <t>11040165</t>
  </si>
  <si>
    <t>экономист-менеджер (экономика и управление на предприятии)</t>
  </si>
  <si>
    <t>08050265</t>
  </si>
  <si>
    <t>Сфера обслуживания</t>
  </si>
  <si>
    <r>
      <t xml:space="preserve">2019 </t>
    </r>
    <r>
      <rPr>
        <sz val="10"/>
        <rFont val="Times New Roman"/>
        <family val="1"/>
      </rPr>
      <t>год</t>
    </r>
  </si>
  <si>
    <r>
      <t xml:space="preserve">2020 </t>
    </r>
    <r>
      <rPr>
        <sz val="10"/>
        <rFont val="Times New Roman"/>
        <family val="1"/>
      </rPr>
      <t>год</t>
    </r>
  </si>
  <si>
    <t>техник (электрификация и атоматизация сельского хозяйства)</t>
  </si>
  <si>
    <r>
      <t>ОАО "Марбиофарм"</t>
    </r>
    <r>
      <rPr>
        <sz val="11"/>
        <rFont val="Times New Roman"/>
        <family val="1"/>
      </rPr>
      <t xml:space="preserve"> - всего</t>
    </r>
  </si>
  <si>
    <t>2011 год</t>
  </si>
  <si>
    <t>Числ.-ть работ.-ов пенс. и предпенс. возраста</t>
  </si>
  <si>
    <r>
      <t>ОАО "Волжский транспортный завод"</t>
    </r>
    <r>
      <rPr>
        <sz val="11"/>
        <rFont val="Times New Roman"/>
        <family val="1"/>
      </rPr>
      <t xml:space="preserve">  - всего</t>
    </r>
  </si>
  <si>
    <t>Итого 280 организаций+прочие (58 ед.)</t>
  </si>
  <si>
    <t>Прогноз 
потребности рынка труда Республики Марий Эл 
в квалифицированных кадрах на 2014-2018 годы</t>
  </si>
  <si>
    <t>Прогноз потребности рынка труда Республики Марий Эл 
в квалифицированных кадрах на 2014-2020 годы</t>
  </si>
  <si>
    <t>инженер (механизация переработки сельскохозяйственной продукции)</t>
  </si>
  <si>
    <t>11030365</t>
  </si>
  <si>
    <t>11040465</t>
  </si>
  <si>
    <t>инженер (энергообеспечение предприятия)</t>
  </si>
  <si>
    <t>14010665</t>
  </si>
  <si>
    <t>инженер (эксплуатация воздушных судов и организация воздушного движения)</t>
  </si>
  <si>
    <t>16050165</t>
  </si>
  <si>
    <t>инженер (электромеханика)</t>
  </si>
  <si>
    <t>14060165</t>
  </si>
  <si>
    <t>инженер (автоматизированное производство химических предприятий)</t>
  </si>
  <si>
    <t>24070665</t>
  </si>
  <si>
    <t>бакалавр техники и технологии (технология и оборудование лесозаготовительных и деревообрабатывающих производств)</t>
  </si>
  <si>
    <t>25030062</t>
  </si>
  <si>
    <t>машинист погрузчика автомобильного</t>
  </si>
  <si>
    <t>15060232</t>
  </si>
  <si>
    <t>машинист бульдозера</t>
  </si>
  <si>
    <t>15050133</t>
  </si>
  <si>
    <t>машинист катка самоходного с гладкими вальцами</t>
  </si>
  <si>
    <t>15050535</t>
  </si>
  <si>
    <t>425127 Моркинский район, с.Шоруньжа</t>
  </si>
  <si>
    <t>425582 Параньгинский район, д.Ильпанур</t>
  </si>
  <si>
    <t>425471 Сернурский район, д. Большой Сердеж</t>
  </si>
  <si>
    <t>425418 Советский район, д.Верх Ушнур</t>
  </si>
  <si>
    <t>425303 Горномарийский район,  п. Новый</t>
  </si>
  <si>
    <t>425304 Горномарийский район, с. Кулаково</t>
  </si>
  <si>
    <t>Малые и микропредприятия</t>
  </si>
  <si>
    <t>425033 Волжский район, д. Полевая, ул. Новая, 7</t>
  </si>
  <si>
    <t>425510 Мари-Турекский район,  д. Мари-Купта, ул. Центральная,  82</t>
  </si>
  <si>
    <t>425221 Медведевский район, п. Знаменский, ул. Новая, д.15 а</t>
  </si>
  <si>
    <t>425457 Сернурский район,  д.Чендемерово</t>
  </si>
  <si>
    <t>425555 Куженерский район,  с.Шорсола</t>
  </si>
  <si>
    <t>425520 Мари-Турекский район, с. Хлебниково, ул.Советская, 20</t>
  </si>
  <si>
    <t>425261 Оршанский район, с. Шулка,  ул.Центральная, 34</t>
  </si>
  <si>
    <t>425091 Звениговский рвйон, с. Кожла Сола</t>
  </si>
  <si>
    <t>425500 п. Мари-Турек, ул. Строителей, 4</t>
  </si>
  <si>
    <t xml:space="preserve">425421 Советский район, д. Шуар-Сола </t>
  </si>
  <si>
    <t>425550 п. Куженер, ул. Заводская, 2</t>
  </si>
  <si>
    <t>425000 г.Волжск, ул. К.Маркса, 10</t>
  </si>
  <si>
    <t>425000 г.Волжск, ул. Промбаза, 1</t>
  </si>
  <si>
    <t>424003  г. Йошкар-Ола, ул. Суворова, д.15</t>
  </si>
  <si>
    <t>424003  г. Йошкар-Ола, ул. Лобачевского, д. 12</t>
  </si>
  <si>
    <t>20040125</t>
  </si>
  <si>
    <t>сварщик арматурных сеток и каркасов</t>
  </si>
  <si>
    <t>секретарь-референт</t>
  </si>
  <si>
    <t>машинист компрессорных установок</t>
  </si>
  <si>
    <t>14080132</t>
  </si>
  <si>
    <t>мастер общестроительных работ</t>
  </si>
  <si>
    <t>15030030</t>
  </si>
  <si>
    <t>инженер (электроснабжение)</t>
  </si>
  <si>
    <t>14021165</t>
  </si>
  <si>
    <t>инженер (промышленное и гражданское строительство)</t>
  </si>
  <si>
    <t>27010265</t>
  </si>
  <si>
    <t>инженер (сервис транспортных и технологических машин и оборудования)</t>
  </si>
  <si>
    <t>экономист-менеджер (логистика)</t>
  </si>
  <si>
    <t>прессовщик стеновых изделий</t>
  </si>
  <si>
    <t>425090  Звениговский район, п.Красногорский, ул. Ленина, д. 53</t>
  </si>
  <si>
    <t>425008  г.Волжск, ул. Фрунзе, д.1.</t>
  </si>
  <si>
    <t>424004  г.Йошкар-Ола, ул. Пролетарская, д. 33</t>
  </si>
  <si>
    <t>425091 Звениговский район, п.Красногорский, ул.Машиностроителей, д.1</t>
  </si>
  <si>
    <r>
      <t xml:space="preserve">ЗАО "Завод металлокерамических материалов "Метма" </t>
    </r>
    <r>
      <rPr>
        <sz val="11"/>
        <rFont val="Times New Roman"/>
        <family val="1"/>
      </rPr>
      <t>- всего</t>
    </r>
  </si>
  <si>
    <r>
      <t xml:space="preserve">Мари-Турекское райпо </t>
    </r>
    <r>
      <rPr>
        <sz val="11"/>
        <rFont val="Times New Roman"/>
        <family val="1"/>
      </rPr>
      <t>- всего</t>
    </r>
  </si>
  <si>
    <r>
      <t>ООО "Фарид"</t>
    </r>
    <r>
      <rPr>
        <sz val="11"/>
        <rFont val="Times New Roman"/>
        <family val="1"/>
      </rPr>
      <t>- всего</t>
    </r>
  </si>
  <si>
    <r>
      <t>ООО "Лик-М"</t>
    </r>
    <r>
      <rPr>
        <sz val="11"/>
        <rFont val="Times New Roman"/>
        <family val="1"/>
      </rPr>
      <t>- всего</t>
    </r>
  </si>
  <si>
    <r>
      <t>ООО "Мега Холл центр стройки"</t>
    </r>
    <r>
      <rPr>
        <sz val="11"/>
        <rFont val="Times New Roman"/>
        <family val="1"/>
      </rPr>
      <t>- всего</t>
    </r>
  </si>
  <si>
    <r>
      <t>ЗАО "Дом книги"</t>
    </r>
    <r>
      <rPr>
        <sz val="11"/>
        <rFont val="Times New Roman"/>
        <family val="1"/>
      </rPr>
      <t>- всего</t>
    </r>
  </si>
  <si>
    <r>
      <t>ООО "Строй Град"</t>
    </r>
    <r>
      <rPr>
        <sz val="11"/>
        <rFont val="Times New Roman"/>
        <family val="1"/>
      </rPr>
      <t>- всего</t>
    </r>
  </si>
  <si>
    <r>
      <t>ООО "ТрансТехСервис"</t>
    </r>
    <r>
      <rPr>
        <sz val="11"/>
        <rFont val="Times New Roman"/>
        <family val="1"/>
      </rPr>
      <t>- всего</t>
    </r>
  </si>
  <si>
    <r>
      <t>ООО "Алко-Маркет"</t>
    </r>
    <r>
      <rPr>
        <sz val="11"/>
        <rFont val="Times New Roman"/>
        <family val="1"/>
      </rPr>
      <t>- всего</t>
    </r>
  </si>
  <si>
    <r>
      <t>ООО "Теплица"</t>
    </r>
    <r>
      <rPr>
        <sz val="11"/>
        <rFont val="Times New Roman"/>
        <family val="1"/>
      </rPr>
      <t>- всего</t>
    </r>
  </si>
  <si>
    <r>
      <t xml:space="preserve">ООО "Марийское" </t>
    </r>
    <r>
      <rPr>
        <sz val="11"/>
        <rFont val="Times New Roman"/>
        <family val="1"/>
      </rPr>
      <t>- всего</t>
    </r>
  </si>
  <si>
    <r>
      <t xml:space="preserve">ООО "Алекса" - </t>
    </r>
    <r>
      <rPr>
        <sz val="11"/>
        <rFont val="Times New Roman"/>
        <family val="1"/>
      </rPr>
      <t>всего</t>
    </r>
  </si>
  <si>
    <r>
      <t>ОАО "Стройкерамика"</t>
    </r>
    <r>
      <rPr>
        <sz val="11"/>
        <rFont val="Times New Roman"/>
        <family val="1"/>
      </rPr>
      <t xml:space="preserve"> - всего</t>
    </r>
  </si>
  <si>
    <r>
      <t>ООО "Ронгинская ПМК"</t>
    </r>
    <r>
      <rPr>
        <sz val="11"/>
        <rFont val="Times New Roman"/>
        <family val="1"/>
      </rPr>
      <t xml:space="preserve"> - всего</t>
    </r>
  </si>
  <si>
    <r>
      <t xml:space="preserve">ООО НПК "Унистрой" </t>
    </r>
    <r>
      <rPr>
        <sz val="11"/>
        <rFont val="Times New Roman"/>
        <family val="1"/>
      </rPr>
      <t>- всего</t>
    </r>
  </si>
  <si>
    <t>магистр техники и технологии (геодезия)</t>
  </si>
  <si>
    <t>12010068</t>
  </si>
  <si>
    <r>
      <t>ООО "Оршанский ХРУ"</t>
    </r>
    <r>
      <rPr>
        <sz val="11"/>
        <rFont val="Times New Roman"/>
        <family val="1"/>
      </rPr>
      <t xml:space="preserve"> - всего</t>
    </r>
  </si>
  <si>
    <r>
      <t xml:space="preserve">ООО "Аленкинская ПМК" </t>
    </r>
    <r>
      <rPr>
        <sz val="11"/>
        <rFont val="Times New Roman"/>
        <family val="1"/>
      </rPr>
      <t>- всего</t>
    </r>
  </si>
  <si>
    <r>
      <t xml:space="preserve">ЗАО "Марпромвентиляция" </t>
    </r>
    <r>
      <rPr>
        <sz val="11"/>
        <rFont val="Times New Roman"/>
        <family val="1"/>
      </rPr>
      <t>- всего</t>
    </r>
  </si>
  <si>
    <r>
      <t xml:space="preserve">ООО "Сернурский общепит" </t>
    </r>
    <r>
      <rPr>
        <sz val="11"/>
        <rFont val="Times New Roman"/>
        <family val="1"/>
      </rPr>
      <t>- всего</t>
    </r>
  </si>
  <si>
    <t>Юринский район</t>
  </si>
  <si>
    <r>
      <t xml:space="preserve">ООО "Юринский водоканал" </t>
    </r>
    <r>
      <rPr>
        <sz val="11"/>
        <rFont val="Times New Roman"/>
        <family val="1"/>
      </rPr>
      <t>- всего</t>
    </r>
  </si>
  <si>
    <r>
      <t xml:space="preserve">МУПКХ МО "Юринский район" </t>
    </r>
    <r>
      <rPr>
        <sz val="11"/>
        <rFont val="Times New Roman"/>
        <family val="1"/>
      </rPr>
      <t>- всего</t>
    </r>
  </si>
  <si>
    <t>Килемарское район</t>
  </si>
  <si>
    <r>
      <t xml:space="preserve">ГКУ РМЭ "Килемарское лесничество" </t>
    </r>
    <r>
      <rPr>
        <sz val="11"/>
        <rFont val="Times New Roman"/>
        <family val="1"/>
      </rPr>
      <t>- всего</t>
    </r>
  </si>
  <si>
    <r>
      <t xml:space="preserve">ГКУ РМЭ "Куярское лесничество" </t>
    </r>
    <r>
      <rPr>
        <sz val="11"/>
        <rFont val="Times New Roman"/>
        <family val="1"/>
      </rPr>
      <t>- всего</t>
    </r>
  </si>
  <si>
    <r>
      <t xml:space="preserve">ГКУ РМЭ "Кокшайское лесничество" </t>
    </r>
    <r>
      <rPr>
        <sz val="11"/>
        <rFont val="Times New Roman"/>
        <family val="1"/>
      </rPr>
      <t>- всего</t>
    </r>
  </si>
  <si>
    <r>
      <t xml:space="preserve">ГКУ РМЭ "Пригородное лесничество" </t>
    </r>
    <r>
      <rPr>
        <sz val="11"/>
        <rFont val="Times New Roman"/>
        <family val="1"/>
      </rPr>
      <t>- всего</t>
    </r>
  </si>
  <si>
    <r>
      <t xml:space="preserve">ГКУ РМЭ Советское лесничество" </t>
    </r>
    <r>
      <rPr>
        <sz val="11"/>
        <rFont val="Times New Roman"/>
        <family val="1"/>
      </rPr>
      <t>- всего</t>
    </r>
  </si>
  <si>
    <r>
      <t>МУП "Город"</t>
    </r>
    <r>
      <rPr>
        <sz val="11"/>
        <rFont val="Times New Roman"/>
        <family val="1"/>
      </rPr>
      <t xml:space="preserve"> - всего</t>
    </r>
  </si>
  <si>
    <r>
      <t>МУП "Водоканал" г. Козьмодемьянск</t>
    </r>
    <r>
      <rPr>
        <sz val="11"/>
        <rFont val="Times New Roman"/>
        <family val="1"/>
      </rPr>
      <t xml:space="preserve"> - всего</t>
    </r>
  </si>
  <si>
    <t>наладчик контрольно-измерительных приборов и автоматики</t>
  </si>
  <si>
    <t>01020140</t>
  </si>
  <si>
    <t>токарь-расточник</t>
  </si>
  <si>
    <t>01160132</t>
  </si>
  <si>
    <t>литейщик пластмасс</t>
  </si>
  <si>
    <t>слесарь-инструментальщик</t>
  </si>
  <si>
    <t>01130130</t>
  </si>
  <si>
    <t>14020124</t>
  </si>
  <si>
    <t>лаборант</t>
  </si>
  <si>
    <t>Электрогазосварщик</t>
  </si>
  <si>
    <t>11448</t>
  </si>
  <si>
    <t>водитель погрузчика автомобильного</t>
  </si>
  <si>
    <t>штукатур</t>
  </si>
  <si>
    <t>12519</t>
  </si>
  <si>
    <t>маляр</t>
  </si>
  <si>
    <t>22446</t>
  </si>
  <si>
    <t>мастер</t>
  </si>
  <si>
    <t>23796</t>
  </si>
  <si>
    <t>24110</t>
  </si>
  <si>
    <t>25114</t>
  </si>
  <si>
    <t>энергетик</t>
  </si>
  <si>
    <t>инженер (проектирование зданий)</t>
  </si>
  <si>
    <t>монтажник санитарно-технических систем и оборудования 4-6 разряд</t>
  </si>
  <si>
    <t>-</t>
  </si>
  <si>
    <t>II. Специальности среднего звена</t>
  </si>
  <si>
    <t>сборщик электрических машин и аппаратов</t>
  </si>
  <si>
    <t>04020138</t>
  </si>
  <si>
    <t>прессовщик изделий из  пластмасс</t>
  </si>
  <si>
    <t>01050141</t>
  </si>
  <si>
    <t xml:space="preserve">слесарь-ремонтник (ремонт машин и оборудования различного назначения) </t>
  </si>
  <si>
    <r>
      <t>Филиал ЗАО "Эр-Телеком Холдинг" в г. Йошкар-Оле</t>
    </r>
    <r>
      <rPr>
        <sz val="11"/>
        <rFont val="Times New Roman"/>
        <family val="1"/>
      </rPr>
      <t xml:space="preserve"> - всего</t>
    </r>
  </si>
  <si>
    <t>специалист по документационному обеспечению управления, архивист</t>
  </si>
  <si>
    <t>03200251</t>
  </si>
  <si>
    <t>магистр техники и технологии (телекоммуникации)</t>
  </si>
  <si>
    <t>21040068</t>
  </si>
  <si>
    <t>21040062</t>
  </si>
  <si>
    <t>бакалавр техники и технологии (телекоммуникации)</t>
  </si>
  <si>
    <r>
      <t>Филиал в Республике Марий Эл ОАО "Ростелеком"</t>
    </r>
    <r>
      <rPr>
        <sz val="11"/>
        <rFont val="Times New Roman"/>
        <family val="1"/>
      </rPr>
      <t xml:space="preserve"> - всего</t>
    </r>
  </si>
  <si>
    <t>техник (сети связи и системы коммутации)</t>
  </si>
  <si>
    <t>21040651</t>
  </si>
  <si>
    <t>инженер (сети связи и системы коммутации)</t>
  </si>
  <si>
    <t>21040665</t>
  </si>
  <si>
    <t>24010333</t>
  </si>
  <si>
    <t>инженер (безопасность технологических процессов и производств)</t>
  </si>
  <si>
    <t>28010265</t>
  </si>
  <si>
    <t>специалист почтовой связи</t>
  </si>
  <si>
    <t>21050151</t>
  </si>
  <si>
    <t>специалист почтовой связи с углубленной подготовкой</t>
  </si>
  <si>
    <t>21050152</t>
  </si>
  <si>
    <r>
      <t>ФГУП "Главный центр специальной связи"</t>
    </r>
    <r>
      <rPr>
        <sz val="11"/>
        <rFont val="Times New Roman"/>
        <family val="1"/>
      </rPr>
      <t xml:space="preserve"> - всего</t>
    </r>
  </si>
  <si>
    <t>станочник (металлобработка)</t>
  </si>
  <si>
    <t>01150032</t>
  </si>
  <si>
    <t>резчик горячего металла</t>
  </si>
  <si>
    <t>13081039</t>
  </si>
  <si>
    <t>39100048</t>
  </si>
  <si>
    <t>швея</t>
  </si>
  <si>
    <t>32010224</t>
  </si>
  <si>
    <t>наладчик кузнечно-прессового оборудования</t>
  </si>
  <si>
    <t>01030144</t>
  </si>
  <si>
    <t>мастер по лесному хозяйству</t>
  </si>
  <si>
    <t>40080049</t>
  </si>
  <si>
    <t>водитель автотранспортных средств (лесное хозяйство)</t>
  </si>
  <si>
    <t>40080440</t>
  </si>
  <si>
    <t>контролер технического состояния автотранспортных средств</t>
  </si>
  <si>
    <t>24010339</t>
  </si>
  <si>
    <t>424007  г.Йошкар-Ола, ул.Крылова, д. 46</t>
  </si>
  <si>
    <t>424003  г. Йошкар-Ола, ул.Зарубина, д.51</t>
  </si>
  <si>
    <t>424031 г. Йошкар-Ола, ул. Пролетарская, д. 39</t>
  </si>
  <si>
    <t>425000  г.Волжск, ул. 2-я промышленная, д. 7</t>
  </si>
  <si>
    <t>424006 г. Йошкар-Ола, Кокшайский пр.,4</t>
  </si>
  <si>
    <t>менеджер (управление персоналом)</t>
  </si>
  <si>
    <t>08050565</t>
  </si>
  <si>
    <t>мастер животноводства</t>
  </si>
  <si>
    <t>40010327</t>
  </si>
  <si>
    <t>мастер машинного доения</t>
  </si>
  <si>
    <t>40010126</t>
  </si>
  <si>
    <t>тракторист-машинист широкого профиля</t>
  </si>
  <si>
    <t>40040143</t>
  </si>
  <si>
    <t>08011052</t>
  </si>
  <si>
    <t>ветеринарный фельдшер</t>
  </si>
  <si>
    <t>11120151</t>
  </si>
  <si>
    <t>424007 г.Йошкар-Ола, ул.Машиностроителей, 131</t>
  </si>
  <si>
    <t>425006 г.Волжск, ул.Ленина, 60</t>
  </si>
  <si>
    <t>41030243</t>
  </si>
  <si>
    <t>слесарь-сантехник</t>
  </si>
  <si>
    <t xml:space="preserve">Гальваник* </t>
  </si>
  <si>
    <t>Комплектовщик изделий из инструмента*</t>
  </si>
  <si>
    <t>Пропитчик электротехнических изделий*</t>
  </si>
  <si>
    <t>05070040</t>
  </si>
  <si>
    <t>17444</t>
  </si>
  <si>
    <t>05080142</t>
  </si>
  <si>
    <t>01160332</t>
  </si>
  <si>
    <t>диспетчер*</t>
  </si>
  <si>
    <t>мастер*</t>
  </si>
  <si>
    <t>оператор станков с программным управлением*</t>
  </si>
  <si>
    <t>распределитель работ*</t>
  </si>
  <si>
    <t>старший диспетчер*</t>
  </si>
  <si>
    <t>старший кладовщик*</t>
  </si>
  <si>
    <t>21629</t>
  </si>
  <si>
    <t>16045</t>
  </si>
  <si>
    <t>17787</t>
  </si>
  <si>
    <t>20746</t>
  </si>
  <si>
    <t>12759</t>
  </si>
  <si>
    <t>24030465</t>
  </si>
  <si>
    <t>05010049</t>
  </si>
  <si>
    <t>Оператор автоматических и полуавтоматических линий ХШТО,5разряд*</t>
  </si>
  <si>
    <t>23020165</t>
  </si>
  <si>
    <t>наладчик холодноштамповочного оборудования 4-5 разряда</t>
  </si>
  <si>
    <t>формовщик колбасных изделий 3-4 разряда</t>
  </si>
  <si>
    <t>01130335</t>
  </si>
  <si>
    <t>Электрослесарь по ремонту оборудования РУ 4 разряд*</t>
  </si>
  <si>
    <t>19923</t>
  </si>
  <si>
    <t>25010146</t>
  </si>
  <si>
    <t>Электрослесарь по ремонту оборудования РУ 5 разряд*</t>
  </si>
  <si>
    <t>24040165</t>
  </si>
  <si>
    <t>Слесарь по обслуживанию тепловых пунктов 4 разряд*</t>
  </si>
  <si>
    <t>Слесарь по обслуживанию тепловых пунктов 5 разряд*</t>
  </si>
  <si>
    <t>01090165</t>
  </si>
  <si>
    <t>подсобный рабочий*</t>
  </si>
  <si>
    <t>укладчик - упаковщик*</t>
  </si>
  <si>
    <t>машинист высекательно - штамповочной машины*</t>
  </si>
  <si>
    <t>машинист резальной машины*</t>
  </si>
  <si>
    <t>печатник (помощник печатника)</t>
  </si>
  <si>
    <t>менеджер по продажам</t>
  </si>
  <si>
    <t>грузчик*</t>
  </si>
  <si>
    <t>оператор автоматической линии</t>
  </si>
  <si>
    <t>оператор окорочно-дробильного комплекса</t>
  </si>
  <si>
    <t>бакалавр техники и технологии - полиграфия (печатник)</t>
  </si>
  <si>
    <t>26110062</t>
  </si>
  <si>
    <t>17030040</t>
  </si>
  <si>
    <t xml:space="preserve">лаборант </t>
  </si>
  <si>
    <t>штукатор</t>
  </si>
  <si>
    <t>Помощник оператора технологического оборудования*</t>
  </si>
  <si>
    <t>водитель дрезины*</t>
  </si>
  <si>
    <t>изолировщик*</t>
  </si>
  <si>
    <t>слесарь КИП и А</t>
  </si>
  <si>
    <t>электромантёр</t>
  </si>
  <si>
    <t xml:space="preserve">слесарь-ремонтник </t>
  </si>
  <si>
    <t>инженер</t>
  </si>
  <si>
    <t>инженер-программист</t>
  </si>
  <si>
    <t>инженер*</t>
  </si>
  <si>
    <t>механик*</t>
  </si>
  <si>
    <t>начальник цеха*</t>
  </si>
  <si>
    <t>фрезеровщик-универсал</t>
  </si>
  <si>
    <t>материаловедение и технология новых материалов, инженер</t>
  </si>
  <si>
    <t>менеджмент (по отраслям), менеджер</t>
  </si>
  <si>
    <t>01170031</t>
  </si>
  <si>
    <t>27011465</t>
  </si>
  <si>
    <t>15060165</t>
  </si>
  <si>
    <t>24030138</t>
  </si>
  <si>
    <t>мотажник РЭА и приборов 3-4</t>
  </si>
  <si>
    <t>прессовщик изделай из пластмасс 3-4 разряд</t>
  </si>
  <si>
    <t>регулировщик РЭА и приборов 4-6 разряд</t>
  </si>
  <si>
    <t>слесарь механосборочных работ 4-5 разряда</t>
  </si>
  <si>
    <t>слесарь по КИП и А 4-5 разряд</t>
  </si>
  <si>
    <t>15020129</t>
  </si>
  <si>
    <t>18526</t>
  </si>
  <si>
    <t>слесарь по ремонту и обслуживанию систем вентиляции и кондиционирования 4-5 разряд*</t>
  </si>
  <si>
    <t>слесарь - механик РЭА и приборов</t>
  </si>
  <si>
    <t>слесарь - ремонтник 4-6 разряд</t>
  </si>
  <si>
    <t>25030137</t>
  </si>
  <si>
    <t>слесарь по ремонту подвижного состава</t>
  </si>
  <si>
    <t xml:space="preserve"> 14110034</t>
  </si>
  <si>
    <t>оператор в резинотехническом производстве</t>
  </si>
  <si>
    <t>15030062</t>
  </si>
  <si>
    <t>бакалавр техники и технологии (прикладная механика)</t>
  </si>
  <si>
    <t xml:space="preserve">26120352 </t>
  </si>
  <si>
    <t xml:space="preserve">старший техник полиграфического производства </t>
  </si>
  <si>
    <t>слесарь - сборщик РЭА и приборов 4-5 раз.</t>
  </si>
  <si>
    <t>токарь 4-6 разряд</t>
  </si>
  <si>
    <t>фрезеровщик 4-6 разряд</t>
  </si>
  <si>
    <t>шлифовщик 4-6 разряд</t>
  </si>
  <si>
    <t>электромонтер по ремонту и обслуживанию эл.оборудования 4-6 разряд</t>
  </si>
  <si>
    <t>электрогазосварщик 4-6 разряд</t>
  </si>
  <si>
    <t>21060165</t>
  </si>
  <si>
    <t>14020062</t>
  </si>
  <si>
    <t>20050165</t>
  </si>
  <si>
    <t>инженер - конструктор, инженер - технолог (Радиотехника)</t>
  </si>
  <si>
    <t>инженер - механик (Информационные технологии и системы связи)</t>
  </si>
  <si>
    <t>инженер - конструктор, инженер - технолог (Конструирование и технология электронных средств)</t>
  </si>
  <si>
    <t>инженер - конструктор (Радиоэлектронные системы и комплексы)</t>
  </si>
  <si>
    <t>инженер - конструктор, инженер - технолог (Конструкторско-технологическое обеспечение машиностроительных производств)</t>
  </si>
  <si>
    <t>инженер - конструктор, инженер-технолог (технологические машины и оборудование)</t>
  </si>
  <si>
    <t>инженер - конструктор (Стандартизация и метрология)</t>
  </si>
  <si>
    <t>инженер (метрология)</t>
  </si>
  <si>
    <t>автослесарь 1 разряда</t>
  </si>
  <si>
    <t xml:space="preserve">автослесарь 2 разряда </t>
  </si>
  <si>
    <t>автослесарь 3 разряда</t>
  </si>
  <si>
    <t>диагност</t>
  </si>
  <si>
    <t>установщик ДО</t>
  </si>
  <si>
    <t>арматурщик</t>
  </si>
  <si>
    <t>мастер-приемщик кузовного ремонта</t>
  </si>
  <si>
    <t>мастер кузовного ремонта</t>
  </si>
  <si>
    <t>мастер-приемщик</t>
  </si>
  <si>
    <t>мастер слесарного цеха</t>
  </si>
  <si>
    <t>шеф-тренер</t>
  </si>
  <si>
    <t>продавец-консультант</t>
  </si>
  <si>
    <t xml:space="preserve">администратор </t>
  </si>
  <si>
    <t>менеджер ОЗЧ</t>
  </si>
  <si>
    <t>специалист службы эксплуатации/АХЧ</t>
  </si>
  <si>
    <t>помощник руководителя</t>
  </si>
  <si>
    <t>старший продавец-консультант</t>
  </si>
  <si>
    <t>инженер по гарантии</t>
  </si>
  <si>
    <t>руководитель ОЗЧ</t>
  </si>
  <si>
    <t>руководитель СТО</t>
  </si>
  <si>
    <t>руководитель отдела</t>
  </si>
  <si>
    <t>специалист службы безопасности</t>
  </si>
  <si>
    <t>автомойщик*</t>
  </si>
  <si>
    <t>16771</t>
  </si>
  <si>
    <t>11945</t>
  </si>
  <si>
    <t>жестянщик*</t>
  </si>
  <si>
    <t>кладовщик*</t>
  </si>
  <si>
    <t>19060452</t>
  </si>
  <si>
    <t>15041151</t>
  </si>
  <si>
    <t>19160165</t>
  </si>
  <si>
    <t>09010565</t>
  </si>
  <si>
    <t>фрезеровщик 3 разряд</t>
  </si>
  <si>
    <t>токарь 3 разряд</t>
  </si>
  <si>
    <t>техник - технолог (технология машиностроения)</t>
  </si>
  <si>
    <t>15100151</t>
  </si>
  <si>
    <t>инженер - конструктор</t>
  </si>
  <si>
    <t>автоматчики автоматов продольного точения 3 разряда</t>
  </si>
  <si>
    <t>станочник широкого профиля 2 разряда</t>
  </si>
  <si>
    <t>прессовщик изделий из  пластмасс 3 разряд</t>
  </si>
  <si>
    <t xml:space="preserve">водитель а/тр. средств </t>
  </si>
  <si>
    <t>оператор бетонной установки</t>
  </si>
  <si>
    <t>21010665</t>
  </si>
  <si>
    <t>22050365</t>
  </si>
  <si>
    <t>03120265</t>
  </si>
  <si>
    <t>слесарь механосборочных работ 3 разряд</t>
  </si>
  <si>
    <t>слесарь механосборочных работ 4 разряд</t>
  </si>
  <si>
    <t>инженер - электроник</t>
  </si>
  <si>
    <t>инженер по стандартизации и сертификации</t>
  </si>
  <si>
    <t>переводчик английского и японского</t>
  </si>
  <si>
    <t>станочник</t>
  </si>
  <si>
    <t>электромонтер по ремонту и обслуживанию оборудования</t>
  </si>
  <si>
    <t>автоклавщик*</t>
  </si>
  <si>
    <t>сборщик*</t>
  </si>
  <si>
    <t>мойщик полуфабрикатов*</t>
  </si>
  <si>
    <t>оператор экструдера*</t>
  </si>
  <si>
    <t>упаковщик*</t>
  </si>
  <si>
    <t>оператор станков с ЧПУ*</t>
  </si>
  <si>
    <t>контролер ОТК*</t>
  </si>
  <si>
    <t>оператор котельной-механик*</t>
  </si>
  <si>
    <t>рабочий по обслуживанию зданий и сооружений*</t>
  </si>
  <si>
    <t>начальник ОК</t>
  </si>
  <si>
    <t>начальник отдела качества</t>
  </si>
  <si>
    <t>специалист отдела качества</t>
  </si>
  <si>
    <t>инженер ОТ</t>
  </si>
  <si>
    <t>начальник отдела продаж</t>
  </si>
  <si>
    <t>специалист по логистике</t>
  </si>
  <si>
    <t>специалист  по кадрам</t>
  </si>
  <si>
    <t>специалист проектного отдела</t>
  </si>
  <si>
    <t>инспектор по качеству</t>
  </si>
  <si>
    <t>системный администратор</t>
  </si>
  <si>
    <t>инженер отдела тех.обслуживания</t>
  </si>
  <si>
    <t>специалист по закупкам</t>
  </si>
  <si>
    <t>22050152</t>
  </si>
  <si>
    <t>22050151</t>
  </si>
  <si>
    <t>19060365</t>
  </si>
  <si>
    <t>08050665</t>
  </si>
  <si>
    <t>учетчица*</t>
  </si>
  <si>
    <t>27238</t>
  </si>
  <si>
    <t>начальник смены*</t>
  </si>
  <si>
    <t>24945</t>
  </si>
  <si>
    <t>начальник склада*</t>
  </si>
  <si>
    <t>24907</t>
  </si>
  <si>
    <t>генеральный директор</t>
  </si>
  <si>
    <t>зам главного бухгалтера</t>
  </si>
  <si>
    <t>директор по производству</t>
  </si>
  <si>
    <t>электросварщик</t>
  </si>
  <si>
    <t>слесарь - сборщик (металлообработка)</t>
  </si>
  <si>
    <t>штамповщик</t>
  </si>
  <si>
    <t>электромонтажник</t>
  </si>
  <si>
    <t>инженер - технолог</t>
  </si>
  <si>
    <t>уборщик*</t>
  </si>
  <si>
    <t>склейщик*</t>
  </si>
  <si>
    <t>оператор автоматических , п/о станков*</t>
  </si>
  <si>
    <t>01100330</t>
  </si>
  <si>
    <t>14816</t>
  </si>
  <si>
    <t>5080239</t>
  </si>
  <si>
    <t>15474</t>
  </si>
  <si>
    <t>40060032</t>
  </si>
  <si>
    <t>пресс-оператор</t>
  </si>
  <si>
    <t>штукатур-маляр</t>
  </si>
  <si>
    <t>слесарь-наладчик</t>
  </si>
  <si>
    <t>слесарь по ремонту аспирационного оборудования</t>
  </si>
  <si>
    <t>20060323</t>
  </si>
  <si>
    <t>обвязчик поддонов*</t>
  </si>
  <si>
    <t>17789</t>
  </si>
  <si>
    <t>19217</t>
  </si>
  <si>
    <t>14435</t>
  </si>
  <si>
    <t>распределитель силикатной массы*</t>
  </si>
  <si>
    <t>выгрузчик сырья*</t>
  </si>
  <si>
    <t>транспортерщик песка*</t>
  </si>
  <si>
    <t>мельник извести*</t>
  </si>
  <si>
    <t>425061 г.Звенигово,  ул.Горького, 1</t>
  </si>
  <si>
    <t>425450 п.Сернур,  ул.Заводская, 8-а</t>
  </si>
  <si>
    <t>424016 г. Йошкар-Ола, Элеваторный проезд, 5</t>
  </si>
  <si>
    <t>424007 г. Йошкар-Ола,  ул. Машиностроителей, 126</t>
  </si>
  <si>
    <t>424007 г. Йошкар-Ола, ул. Машиностроителей, 132</t>
  </si>
  <si>
    <t>425400 п. Советский, ул..Свердлова, 19-а</t>
  </si>
  <si>
    <t>425400 п..Советский, ул.Пушкина,51</t>
  </si>
  <si>
    <t>424910 Медведевский район, п. Силикатный, ул. Мира, д. 1</t>
  </si>
  <si>
    <t>265276*</t>
  </si>
  <si>
    <t>социальный работник</t>
  </si>
  <si>
    <t>техник (технология швейных изделий)</t>
  </si>
  <si>
    <t>26090151</t>
  </si>
  <si>
    <t>техник (строительство и экплуатация зданий и сооружений)</t>
  </si>
  <si>
    <t>04010152</t>
  </si>
  <si>
    <t>коммерсант (коммерция)</t>
  </si>
  <si>
    <t>08030252</t>
  </si>
  <si>
    <t>техник (технология деревообработки)</t>
  </si>
  <si>
    <t>25040351</t>
  </si>
  <si>
    <t>25020251</t>
  </si>
  <si>
    <t>техник (лесное и лесопарковое хозяйство)</t>
  </si>
  <si>
    <t>425416 Советский район, с. Ронга</t>
  </si>
  <si>
    <t>слесарь по контрольно-измерительным приборам и автоматике</t>
  </si>
  <si>
    <t>01140134</t>
  </si>
  <si>
    <t>электромеханик по торговому и холодильному оборудованию</t>
  </si>
  <si>
    <t>01220034</t>
  </si>
  <si>
    <t>01170230</t>
  </si>
  <si>
    <t>кондитер сахаристых изделий</t>
  </si>
  <si>
    <t>41040023</t>
  </si>
  <si>
    <t>техник (строительство и эксплуатация автомобильных дорог и аэродромов)</t>
  </si>
  <si>
    <t>27020651</t>
  </si>
  <si>
    <t>машинист дорожных и строительных машин</t>
  </si>
  <si>
    <t>15050038</t>
  </si>
  <si>
    <t>машинист экскаватора одноковшового</t>
  </si>
  <si>
    <t>слесарь по ремонту дорожно-строительных машин и тракторов</t>
  </si>
  <si>
    <t>15051026</t>
  </si>
  <si>
    <t>тракторист</t>
  </si>
  <si>
    <t>40060331</t>
  </si>
  <si>
    <t>15050334</t>
  </si>
  <si>
    <t>424031  г. Йошкар-Ола, ул. Чехова, д.61</t>
  </si>
  <si>
    <t>425350  г.Козьмодемьянск, ул. Гагарина, д. 25</t>
  </si>
  <si>
    <t>станочник широкого профиля</t>
  </si>
  <si>
    <t>01150138</t>
  </si>
  <si>
    <t>17050321</t>
  </si>
  <si>
    <t>14020621</t>
  </si>
  <si>
    <t>01130226</t>
  </si>
  <si>
    <t>электрогазосварщик</t>
  </si>
  <si>
    <t>01100235</t>
  </si>
  <si>
    <t>каменщик</t>
  </si>
  <si>
    <t>24010138</t>
  </si>
  <si>
    <t>токарь</t>
  </si>
  <si>
    <t>автомеханик</t>
  </si>
  <si>
    <t>01160131</t>
  </si>
  <si>
    <t>24010032</t>
  </si>
  <si>
    <t>Код по профессиям и специальностям присвоен в соответствии с:</t>
  </si>
  <si>
    <t>Общероссийским классификатором начального профессионального образования ОК 023-95;</t>
  </si>
  <si>
    <t>Общероссийским классификатором специальностей по образованию ОК 009-2003;</t>
  </si>
  <si>
    <t>1470234</t>
  </si>
  <si>
    <t>* Общероссийским классификатором профессий рабочих, должностей служащих и тарифных разрядов ОК 016-94.</t>
  </si>
  <si>
    <t>шлифовщик</t>
  </si>
  <si>
    <t>01180435</t>
  </si>
  <si>
    <t>столяр</t>
  </si>
  <si>
    <t>отделочник изделий из древесины</t>
  </si>
  <si>
    <t>17050427</t>
  </si>
  <si>
    <t>сварщик (электросварочные и газосварочные работы)</t>
  </si>
  <si>
    <t>01100034</t>
  </si>
  <si>
    <t>II. Специальности среднего  профессионального образования</t>
  </si>
  <si>
    <t>425221  Медведевский район, п. Новый, ул. Новая, д. 7</t>
  </si>
  <si>
    <t>424031 г. Йошкар-Ола, ул. Чехова, 70</t>
  </si>
  <si>
    <t>425350 г. Козьмодемьянск, 3 микр. д.2, оф. 20</t>
  </si>
  <si>
    <t>425060 г. Звенигово, ул. Ленина, д.2а</t>
  </si>
  <si>
    <t>425005  г. Волжск, ул. Строителей, д. 19</t>
  </si>
  <si>
    <t>425005  г. Волжск, ул. Заводская, д. 8а</t>
  </si>
  <si>
    <t>аппаратчик химводочистки</t>
  </si>
  <si>
    <t>14070234</t>
  </si>
  <si>
    <r>
      <t>ОАО "Завод полупроводниковых приборов"</t>
    </r>
    <r>
      <rPr>
        <sz val="11"/>
        <rFont val="Times New Roman"/>
        <family val="1"/>
      </rPr>
      <t xml:space="preserve"> - всего</t>
    </r>
  </si>
  <si>
    <t>Наладчик холодноштамповочного оборудования</t>
  </si>
  <si>
    <t>наладчик технологического оборудования</t>
  </si>
  <si>
    <t>Слесарь-ремонтник</t>
  </si>
  <si>
    <t>инженер-механик</t>
  </si>
  <si>
    <r>
      <t>ООО "Водоканалсервис"</t>
    </r>
    <r>
      <rPr>
        <sz val="11"/>
        <rFont val="Times New Roman"/>
        <family val="1"/>
      </rPr>
      <t xml:space="preserve"> - всего</t>
    </r>
  </si>
  <si>
    <t>машинист насосных установок</t>
  </si>
  <si>
    <t>14080238</t>
  </si>
  <si>
    <r>
      <t>ООО "ИнвестКоммунСтрой"</t>
    </r>
    <r>
      <rPr>
        <sz val="11"/>
        <rFont val="Times New Roman"/>
        <family val="1"/>
      </rPr>
      <t xml:space="preserve"> - всего</t>
    </r>
  </si>
  <si>
    <r>
      <t>ООО "СоветскКоммунКомплект"</t>
    </r>
    <r>
      <rPr>
        <sz val="11"/>
        <rFont val="Times New Roman"/>
        <family val="1"/>
      </rPr>
      <t xml:space="preserve"> - всего</t>
    </r>
  </si>
  <si>
    <t>агроном</t>
  </si>
  <si>
    <t>11020151</t>
  </si>
  <si>
    <t>нженер (механизация сельского хозяйства)</t>
  </si>
  <si>
    <t>11030165</t>
  </si>
  <si>
    <r>
      <t>ООО "Кинде"</t>
    </r>
    <r>
      <rPr>
        <sz val="11"/>
        <rFont val="Times New Roman"/>
        <family val="1"/>
      </rPr>
      <t xml:space="preserve"> - всего</t>
    </r>
  </si>
  <si>
    <r>
      <t>ООО "Жилищная эксплуатация"</t>
    </r>
    <r>
      <rPr>
        <sz val="11"/>
        <rFont val="Times New Roman"/>
        <family val="1"/>
      </rPr>
      <t xml:space="preserve"> - всего</t>
    </r>
  </si>
  <si>
    <r>
      <t>ООО "Жилсервис"</t>
    </r>
    <r>
      <rPr>
        <sz val="11"/>
        <rFont val="Times New Roman"/>
        <family val="1"/>
      </rPr>
      <t xml:space="preserve"> - всего</t>
    </r>
  </si>
  <si>
    <t>20050425</t>
  </si>
  <si>
    <t>оператор пульта управления оборудованием железобетонного производства</t>
  </si>
  <si>
    <t>инженер (промышленная электроника)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</si>
</sst>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3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422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/>
    </xf>
    <xf numFmtId="0" fontId="6" fillId="25" borderId="11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1" fontId="10" fillId="0" borderId="11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49" fontId="19" fillId="0" borderId="12" xfId="0" applyNumberFormat="1" applyFont="1" applyFill="1" applyBorder="1" applyAlignment="1" applyProtection="1">
      <alignment vertical="top" wrapText="1"/>
      <protection locked="0"/>
    </xf>
    <xf numFmtId="0" fontId="20" fillId="0" borderId="12" xfId="0" applyFont="1" applyFill="1" applyBorder="1" applyAlignment="1">
      <alignment vertical="top" wrapText="1"/>
    </xf>
    <xf numFmtId="1" fontId="10" fillId="0" borderId="11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" fontId="4" fillId="26" borderId="11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/>
    </xf>
    <xf numFmtId="1" fontId="6" fillId="0" borderId="12" xfId="0" applyNumberFormat="1" applyFont="1" applyFill="1" applyBorder="1" applyAlignment="1">
      <alignment horizontal="center" vertical="top" wrapText="1"/>
    </xf>
    <xf numFmtId="1" fontId="6" fillId="0" borderId="13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Fill="1" applyAlignment="1">
      <alignment horizontal="left" vertical="top"/>
    </xf>
    <xf numFmtId="49" fontId="24" fillId="0" borderId="0" xfId="0" applyNumberFormat="1" applyFont="1" applyFill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1" fontId="6" fillId="0" borderId="12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1" fontId="4" fillId="27" borderId="11" xfId="0" applyNumberFormat="1" applyFont="1" applyFill="1" applyBorder="1" applyAlignment="1">
      <alignment horizontal="center" vertical="top" wrapText="1"/>
    </xf>
    <xf numFmtId="1" fontId="10" fillId="27" borderId="11" xfId="0" applyNumberFormat="1" applyFont="1" applyFill="1" applyBorder="1" applyAlignment="1">
      <alignment horizontal="center" vertical="top" wrapText="1"/>
    </xf>
    <xf numFmtId="1" fontId="6" fillId="27" borderId="11" xfId="0" applyNumberFormat="1" applyFont="1" applyFill="1" applyBorder="1" applyAlignment="1">
      <alignment horizontal="center" vertical="top" wrapText="1"/>
    </xf>
    <xf numFmtId="1" fontId="6" fillId="27" borderId="12" xfId="0" applyNumberFormat="1" applyFont="1" applyFill="1" applyBorder="1" applyAlignment="1">
      <alignment horizontal="center" vertical="top" wrapText="1"/>
    </xf>
    <xf numFmtId="1" fontId="6" fillId="27" borderId="10" xfId="0" applyNumberFormat="1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top" wrapText="1"/>
    </xf>
    <xf numFmtId="0" fontId="13" fillId="0" borderId="11" xfId="0" applyFont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justify" vertical="center"/>
    </xf>
    <xf numFmtId="0" fontId="14" fillId="0" borderId="0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0" fontId="13" fillId="0" borderId="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1" fontId="6" fillId="0" borderId="0" xfId="0" applyNumberFormat="1" applyFont="1" applyFill="1" applyAlignment="1">
      <alignment horizontal="right" vertical="top" wrapText="1"/>
    </xf>
    <xf numFmtId="1" fontId="10" fillId="0" borderId="11" xfId="0" applyNumberFormat="1" applyFont="1" applyFill="1" applyBorder="1" applyAlignment="1">
      <alignment horizontal="center" vertical="top"/>
    </xf>
    <xf numFmtId="1" fontId="4" fillId="0" borderId="12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center" vertical="top" wrapText="1"/>
    </xf>
    <xf numFmtId="0" fontId="6" fillId="25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Border="1" applyAlignment="1">
      <alignment vertical="top"/>
    </xf>
    <xf numFmtId="0" fontId="7" fillId="24" borderId="10" xfId="0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vertical="top"/>
    </xf>
    <xf numFmtId="0" fontId="13" fillId="0" borderId="11" xfId="0" applyFont="1" applyFill="1" applyBorder="1" applyAlignment="1">
      <alignment horizontal="justify" vertical="top"/>
    </xf>
    <xf numFmtId="0" fontId="13" fillId="0" borderId="11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4" fillId="24" borderId="10" xfId="0" applyFont="1" applyFill="1" applyBorder="1" applyAlignment="1">
      <alignment horizontal="center" vertical="top" wrapText="1"/>
    </xf>
    <xf numFmtId="0" fontId="13" fillId="25" borderId="0" xfId="0" applyFont="1" applyFill="1" applyBorder="1" applyAlignment="1">
      <alignment vertical="top"/>
    </xf>
    <xf numFmtId="0" fontId="13" fillId="0" borderId="11" xfId="0" applyFont="1" applyBorder="1" applyAlignment="1">
      <alignment vertical="top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justify" vertical="top" wrapText="1"/>
    </xf>
    <xf numFmtId="0" fontId="13" fillId="25" borderId="11" xfId="0" applyFont="1" applyFill="1" applyBorder="1" applyAlignment="1">
      <alignment vertical="top" wrapText="1"/>
    </xf>
    <xf numFmtId="0" fontId="13" fillId="25" borderId="11" xfId="0" applyFont="1" applyFill="1" applyBorder="1" applyAlignment="1">
      <alignment horizontal="justify" vertical="top" wrapText="1"/>
    </xf>
    <xf numFmtId="0" fontId="13" fillId="25" borderId="0" xfId="0" applyFont="1" applyFill="1" applyAlignment="1">
      <alignment vertical="top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vertical="top"/>
    </xf>
    <xf numFmtId="49" fontId="6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1" fontId="6" fillId="0" borderId="12" xfId="0" applyNumberFormat="1" applyFont="1" applyFill="1" applyBorder="1" applyAlignment="1">
      <alignment horizontal="right" vertical="top" wrapText="1"/>
    </xf>
    <xf numFmtId="1" fontId="6" fillId="0" borderId="11" xfId="0" applyNumberFormat="1" applyFont="1" applyFill="1" applyBorder="1" applyAlignment="1">
      <alignment horizontal="right" vertical="top" wrapText="1"/>
    </xf>
    <xf numFmtId="1" fontId="6" fillId="0" borderId="13" xfId="0" applyNumberFormat="1" applyFont="1" applyFill="1" applyBorder="1" applyAlignment="1">
      <alignment horizontal="right" vertical="top" wrapText="1"/>
    </xf>
    <xf numFmtId="1" fontId="6" fillId="0" borderId="11" xfId="0" applyNumberFormat="1" applyFont="1" applyBorder="1" applyAlignment="1">
      <alignment horizontal="right" vertical="top" wrapText="1"/>
    </xf>
    <xf numFmtId="1" fontId="6" fillId="0" borderId="12" xfId="0" applyNumberFormat="1" applyFont="1" applyBorder="1" applyAlignment="1">
      <alignment horizontal="right" vertical="top" wrapText="1"/>
    </xf>
    <xf numFmtId="1" fontId="6" fillId="0" borderId="12" xfId="0" applyNumberFormat="1" applyFont="1" applyFill="1" applyBorder="1" applyAlignment="1">
      <alignment horizontal="right" vertical="top"/>
    </xf>
    <xf numFmtId="1" fontId="6" fillId="0" borderId="11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 vertical="top" wrapText="1"/>
    </xf>
    <xf numFmtId="1" fontId="6" fillId="0" borderId="0" xfId="0" applyNumberFormat="1" applyFont="1" applyBorder="1" applyAlignment="1">
      <alignment horizontal="right" vertical="top" wrapText="1"/>
    </xf>
    <xf numFmtId="1" fontId="4" fillId="26" borderId="11" xfId="0" applyNumberFormat="1" applyFont="1" applyFill="1" applyBorder="1" applyAlignment="1">
      <alignment horizontal="right" vertical="top" wrapText="1"/>
    </xf>
    <xf numFmtId="1" fontId="4" fillId="26" borderId="14" xfId="0" applyNumberFormat="1" applyFont="1" applyFill="1" applyBorder="1" applyAlignment="1">
      <alignment horizontal="right" vertical="top" wrapText="1"/>
    </xf>
    <xf numFmtId="1" fontId="4" fillId="26" borderId="15" xfId="0" applyNumberFormat="1" applyFont="1" applyFill="1" applyBorder="1" applyAlignment="1">
      <alignment horizontal="right" vertical="top" wrapText="1"/>
    </xf>
    <xf numFmtId="1" fontId="6" fillId="0" borderId="0" xfId="0" applyNumberFormat="1" applyFont="1" applyFill="1" applyBorder="1" applyAlignment="1">
      <alignment horizontal="right" vertical="top" wrapText="1"/>
    </xf>
    <xf numFmtId="1" fontId="6" fillId="0" borderId="0" xfId="0" applyNumberFormat="1" applyFont="1" applyFill="1" applyBorder="1" applyAlignment="1">
      <alignment horizontal="right" vertical="top"/>
    </xf>
    <xf numFmtId="1" fontId="13" fillId="0" borderId="11" xfId="0" applyNumberFormat="1" applyFont="1" applyFill="1" applyBorder="1" applyAlignment="1">
      <alignment horizontal="right" vertical="top" wrapText="1"/>
    </xf>
    <xf numFmtId="1" fontId="13" fillId="0" borderId="12" xfId="0" applyNumberFormat="1" applyFont="1" applyBorder="1" applyAlignment="1">
      <alignment horizontal="right" vertical="top" wrapText="1"/>
    </xf>
    <xf numFmtId="1" fontId="13" fillId="0" borderId="11" xfId="0" applyNumberFormat="1" applyFont="1" applyBorder="1" applyAlignment="1">
      <alignment horizontal="right" vertical="top" wrapText="1"/>
    </xf>
    <xf numFmtId="1" fontId="13" fillId="0" borderId="12" xfId="0" applyNumberFormat="1" applyFont="1" applyFill="1" applyBorder="1" applyAlignment="1">
      <alignment horizontal="right" vertical="top" wrapText="1"/>
    </xf>
    <xf numFmtId="1" fontId="13" fillId="0" borderId="12" xfId="0" applyNumberFormat="1" applyFont="1" applyFill="1" applyBorder="1" applyAlignment="1">
      <alignment horizontal="right" vertical="top"/>
    </xf>
    <xf numFmtId="1" fontId="13" fillId="0" borderId="11" xfId="0" applyNumberFormat="1" applyFont="1" applyFill="1" applyBorder="1" applyAlignment="1">
      <alignment horizontal="right" vertical="top"/>
    </xf>
    <xf numFmtId="1" fontId="15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 wrapText="1"/>
    </xf>
    <xf numFmtId="49" fontId="24" fillId="0" borderId="0" xfId="0" applyNumberFormat="1" applyFont="1" applyFill="1" applyAlignment="1">
      <alignment horizontal="right" vertical="top" wrapText="1"/>
    </xf>
    <xf numFmtId="2" fontId="24" fillId="0" borderId="0" xfId="0" applyNumberFormat="1" applyFont="1" applyFill="1" applyAlignment="1">
      <alignment horizontal="right" vertical="top" wrapText="1"/>
    </xf>
    <xf numFmtId="1" fontId="24" fillId="0" borderId="0" xfId="0" applyNumberFormat="1" applyFont="1" applyFill="1" applyAlignment="1">
      <alignment horizontal="right" vertical="top" wrapText="1"/>
    </xf>
    <xf numFmtId="1" fontId="13" fillId="0" borderId="11" xfId="0" applyNumberFormat="1" applyFont="1" applyBorder="1" applyAlignment="1">
      <alignment horizontal="right" vertical="top"/>
    </xf>
    <xf numFmtId="1" fontId="13" fillId="0" borderId="12" xfId="0" applyNumberFormat="1" applyFont="1" applyBorder="1" applyAlignment="1">
      <alignment horizontal="right" vertical="top"/>
    </xf>
    <xf numFmtId="1" fontId="13" fillId="0" borderId="15" xfId="0" applyNumberFormat="1" applyFont="1" applyFill="1" applyBorder="1" applyAlignment="1">
      <alignment horizontal="right" vertical="top"/>
    </xf>
    <xf numFmtId="1" fontId="13" fillId="0" borderId="15" xfId="0" applyNumberFormat="1" applyFont="1" applyBorder="1" applyAlignment="1">
      <alignment horizontal="right" vertical="top" wrapText="1"/>
    </xf>
    <xf numFmtId="0" fontId="13" fillId="25" borderId="11" xfId="0" applyFont="1" applyFill="1" applyBorder="1" applyAlignment="1">
      <alignment wrapText="1"/>
    </xf>
    <xf numFmtId="0" fontId="13" fillId="25" borderId="0" xfId="0" applyFont="1" applyFill="1" applyAlignment="1">
      <alignment/>
    </xf>
    <xf numFmtId="0" fontId="13" fillId="0" borderId="0" xfId="0" applyFont="1" applyAlignment="1">
      <alignment/>
    </xf>
    <xf numFmtId="49" fontId="6" fillId="25" borderId="11" xfId="0" applyNumberFormat="1" applyFont="1" applyFill="1" applyBorder="1" applyAlignment="1">
      <alignment horizontal="center"/>
    </xf>
    <xf numFmtId="0" fontId="6" fillId="25" borderId="11" xfId="0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49" fontId="6" fillId="25" borderId="11" xfId="0" applyNumberFormat="1" applyFont="1" applyFill="1" applyBorder="1" applyAlignment="1">
      <alignment horizontal="center" vertical="top"/>
    </xf>
    <xf numFmtId="1" fontId="6" fillId="0" borderId="14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4" fillId="26" borderId="12" xfId="0" applyFont="1" applyFill="1" applyBorder="1" applyAlignment="1">
      <alignment horizontal="center" vertical="top" wrapText="1"/>
    </xf>
    <xf numFmtId="0" fontId="19" fillId="26" borderId="12" xfId="0" applyFont="1" applyFill="1" applyBorder="1" applyAlignment="1">
      <alignment vertical="top" wrapText="1"/>
    </xf>
    <xf numFmtId="0" fontId="3" fillId="26" borderId="0" xfId="0" applyFont="1" applyFill="1" applyBorder="1" applyAlignment="1">
      <alignment horizontal="center" vertical="center" wrapText="1"/>
    </xf>
    <xf numFmtId="0" fontId="19" fillId="26" borderId="0" xfId="0" applyFont="1" applyFill="1" applyBorder="1" applyAlignment="1">
      <alignment horizontal="center" vertical="center" wrapText="1"/>
    </xf>
    <xf numFmtId="0" fontId="19" fillId="26" borderId="0" xfId="0" applyFont="1" applyFill="1" applyAlignment="1">
      <alignment horizontal="center" vertical="center" wrapText="1"/>
    </xf>
    <xf numFmtId="1" fontId="10" fillId="26" borderId="11" xfId="0" applyNumberFormat="1" applyFont="1" applyFill="1" applyBorder="1" applyAlignment="1">
      <alignment horizontal="center" vertical="top" wrapText="1"/>
    </xf>
    <xf numFmtId="0" fontId="12" fillId="26" borderId="0" xfId="0" applyFont="1" applyFill="1" applyBorder="1" applyAlignment="1">
      <alignment/>
    </xf>
    <xf numFmtId="0" fontId="6" fillId="26" borderId="11" xfId="0" applyFont="1" applyFill="1" applyBorder="1" applyAlignment="1">
      <alignment horizontal="center" vertical="top" wrapText="1"/>
    </xf>
    <xf numFmtId="1" fontId="6" fillId="26" borderId="11" xfId="0" applyNumberFormat="1" applyFont="1" applyFill="1" applyBorder="1" applyAlignment="1">
      <alignment horizontal="center" vertical="top" wrapText="1"/>
    </xf>
    <xf numFmtId="0" fontId="6" fillId="26" borderId="10" xfId="0" applyFont="1" applyFill="1" applyBorder="1" applyAlignment="1">
      <alignment horizontal="center" vertical="top" wrapText="1"/>
    </xf>
    <xf numFmtId="0" fontId="15" fillId="26" borderId="0" xfId="0" applyFont="1" applyFill="1" applyBorder="1" applyAlignment="1">
      <alignment/>
    </xf>
    <xf numFmtId="0" fontId="6" fillId="26" borderId="11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6" fillId="26" borderId="12" xfId="0" applyFont="1" applyFill="1" applyBorder="1" applyAlignment="1">
      <alignment/>
    </xf>
    <xf numFmtId="0" fontId="13" fillId="26" borderId="11" xfId="0" applyFont="1" applyFill="1" applyBorder="1" applyAlignment="1">
      <alignment horizontal="left" vertical="top" wrapText="1"/>
    </xf>
    <xf numFmtId="0" fontId="10" fillId="26" borderId="12" xfId="0" applyFont="1" applyFill="1" applyBorder="1" applyAlignment="1">
      <alignment horizontal="center" vertical="top" wrapText="1"/>
    </xf>
    <xf numFmtId="0" fontId="11" fillId="26" borderId="12" xfId="0" applyFont="1" applyFill="1" applyBorder="1" applyAlignment="1">
      <alignment horizontal="center" vertical="top" wrapText="1"/>
    </xf>
    <xf numFmtId="0" fontId="6" fillId="26" borderId="12" xfId="0" applyFont="1" applyFill="1" applyBorder="1" applyAlignment="1">
      <alignment horizontal="center" vertical="top" wrapText="1"/>
    </xf>
    <xf numFmtId="0" fontId="23" fillId="26" borderId="0" xfId="0" applyFont="1" applyFill="1" applyBorder="1" applyAlignment="1">
      <alignment/>
    </xf>
    <xf numFmtId="0" fontId="6" fillId="26" borderId="10" xfId="0" applyFont="1" applyFill="1" applyBorder="1" applyAlignment="1">
      <alignment horizontal="left" vertical="top" wrapText="1"/>
    </xf>
    <xf numFmtId="0" fontId="22" fillId="26" borderId="10" xfId="0" applyFont="1" applyFill="1" applyBorder="1" applyAlignment="1">
      <alignment horizontal="left" vertical="top" wrapText="1"/>
    </xf>
    <xf numFmtId="0" fontId="23" fillId="26" borderId="0" xfId="0" applyFont="1" applyFill="1" applyBorder="1" applyAlignment="1">
      <alignment horizontal="left"/>
    </xf>
    <xf numFmtId="1" fontId="6" fillId="25" borderId="11" xfId="0" applyNumberFormat="1" applyFont="1" applyFill="1" applyBorder="1" applyAlignment="1">
      <alignment horizontal="center"/>
    </xf>
    <xf numFmtId="0" fontId="6" fillId="26" borderId="0" xfId="0" applyFont="1" applyFill="1" applyBorder="1" applyAlignment="1">
      <alignment horizontal="center" vertical="center" wrapText="1"/>
    </xf>
    <xf numFmtId="0" fontId="6" fillId="26" borderId="0" xfId="0" applyFont="1" applyFill="1" applyAlignment="1">
      <alignment horizontal="center" vertical="center" wrapText="1"/>
    </xf>
    <xf numFmtId="0" fontId="4" fillId="26" borderId="12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22" fillId="26" borderId="10" xfId="0" applyFont="1" applyFill="1" applyBorder="1" applyAlignment="1">
      <alignment horizontal="center" vertical="top" wrapText="1"/>
    </xf>
    <xf numFmtId="0" fontId="6" fillId="26" borderId="0" xfId="0" applyFont="1" applyFill="1" applyBorder="1" applyAlignment="1">
      <alignment horizontal="center" vertical="top" wrapText="1"/>
    </xf>
    <xf numFmtId="1" fontId="10" fillId="26" borderId="10" xfId="0" applyNumberFormat="1" applyFont="1" applyFill="1" applyBorder="1" applyAlignment="1">
      <alignment horizontal="center" vertical="top" wrapText="1"/>
    </xf>
    <xf numFmtId="0" fontId="6" fillId="26" borderId="11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left"/>
    </xf>
    <xf numFmtId="0" fontId="6" fillId="26" borderId="12" xfId="0" applyFont="1" applyFill="1" applyBorder="1" applyAlignment="1">
      <alignment horizontal="left"/>
    </xf>
    <xf numFmtId="0" fontId="10" fillId="26" borderId="12" xfId="0" applyFont="1" applyFill="1" applyBorder="1" applyAlignment="1">
      <alignment/>
    </xf>
    <xf numFmtId="0" fontId="10" fillId="26" borderId="11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1" fontId="6" fillId="26" borderId="12" xfId="0" applyNumberFormat="1" applyFont="1" applyFill="1" applyBorder="1" applyAlignment="1">
      <alignment horizontal="center" vertical="top" wrapText="1"/>
    </xf>
    <xf numFmtId="1" fontId="10" fillId="0" borderId="12" xfId="0" applyNumberFormat="1" applyFont="1" applyBorder="1" applyAlignment="1">
      <alignment horizontal="center" vertical="top" wrapText="1"/>
    </xf>
    <xf numFmtId="1" fontId="4" fillId="26" borderId="12" xfId="0" applyNumberFormat="1" applyFont="1" applyFill="1" applyBorder="1" applyAlignment="1">
      <alignment horizontal="center" vertical="top" wrapText="1"/>
    </xf>
    <xf numFmtId="0" fontId="6" fillId="26" borderId="10" xfId="0" applyFont="1" applyFill="1" applyBorder="1" applyAlignment="1">
      <alignment/>
    </xf>
    <xf numFmtId="1" fontId="6" fillId="26" borderId="16" xfId="0" applyNumberFormat="1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1" fontId="4" fillId="0" borderId="16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/>
    </xf>
    <xf numFmtId="0" fontId="6" fillId="25" borderId="18" xfId="0" applyFont="1" applyFill="1" applyBorder="1" applyAlignment="1">
      <alignment/>
    </xf>
    <xf numFmtId="0" fontId="6" fillId="25" borderId="17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vertical="top" wrapText="1"/>
    </xf>
    <xf numFmtId="0" fontId="6" fillId="26" borderId="16" xfId="0" applyFont="1" applyFill="1" applyBorder="1" applyAlignment="1">
      <alignment/>
    </xf>
    <xf numFmtId="0" fontId="4" fillId="26" borderId="0" xfId="0" applyFont="1" applyFill="1" applyBorder="1" applyAlignment="1">
      <alignment horizontal="center" vertical="top" wrapText="1"/>
    </xf>
    <xf numFmtId="0" fontId="19" fillId="26" borderId="0" xfId="0" applyFont="1" applyFill="1" applyBorder="1" applyAlignment="1">
      <alignment vertical="top" wrapText="1"/>
    </xf>
    <xf numFmtId="1" fontId="10" fillId="26" borderId="0" xfId="0" applyNumberFormat="1" applyFont="1" applyFill="1" applyBorder="1" applyAlignment="1">
      <alignment horizontal="center" vertical="top"/>
    </xf>
    <xf numFmtId="1" fontId="10" fillId="26" borderId="12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1" fontId="10" fillId="27" borderId="12" xfId="0" applyNumberFormat="1" applyFont="1" applyFill="1" applyBorder="1" applyAlignment="1">
      <alignment horizontal="center" vertical="top" wrapText="1"/>
    </xf>
    <xf numFmtId="1" fontId="10" fillId="0" borderId="12" xfId="0" applyNumberFormat="1" applyFont="1" applyFill="1" applyBorder="1" applyAlignment="1">
      <alignment horizontal="center" vertical="top" wrapText="1"/>
    </xf>
    <xf numFmtId="1" fontId="4" fillId="27" borderId="12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/>
    </xf>
    <xf numFmtId="1" fontId="6" fillId="26" borderId="19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top"/>
    </xf>
    <xf numFmtId="0" fontId="10" fillId="26" borderId="10" xfId="0" applyFont="1" applyFill="1" applyBorder="1" applyAlignment="1">
      <alignment/>
    </xf>
    <xf numFmtId="0" fontId="8" fillId="26" borderId="10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vertical="center" wrapText="1"/>
    </xf>
    <xf numFmtId="0" fontId="3" fillId="26" borderId="0" xfId="0" applyFont="1" applyFill="1" applyAlignment="1">
      <alignment horizontal="center" vertical="center" wrapText="1"/>
    </xf>
    <xf numFmtId="1" fontId="4" fillId="4" borderId="11" xfId="0" applyNumberFormat="1" applyFont="1" applyFill="1" applyBorder="1" applyAlignment="1">
      <alignment horizontal="center" vertical="top" wrapText="1"/>
    </xf>
    <xf numFmtId="1" fontId="4" fillId="4" borderId="12" xfId="0" applyNumberFormat="1" applyFont="1" applyFill="1" applyBorder="1" applyAlignment="1">
      <alignment horizontal="center" vertical="top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1" fontId="10" fillId="4" borderId="11" xfId="0" applyNumberFormat="1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/>
    </xf>
    <xf numFmtId="1" fontId="6" fillId="4" borderId="11" xfId="0" applyNumberFormat="1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12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1" fontId="10" fillId="4" borderId="12" xfId="0" applyNumberFormat="1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19" fillId="4" borderId="12" xfId="0" applyFont="1" applyFill="1" applyBorder="1" applyAlignment="1">
      <alignment vertical="top" wrapText="1"/>
    </xf>
    <xf numFmtId="0" fontId="6" fillId="4" borderId="10" xfId="0" applyFont="1" applyFill="1" applyBorder="1" applyAlignment="1">
      <alignment horizontal="center" vertical="top" wrapText="1"/>
    </xf>
    <xf numFmtId="0" fontId="22" fillId="4" borderId="10" xfId="0" applyFont="1" applyFill="1" applyBorder="1" applyAlignment="1">
      <alignment horizontal="center" vertical="top" wrapText="1"/>
    </xf>
    <xf numFmtId="0" fontId="23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 vertical="top" wrapText="1"/>
    </xf>
    <xf numFmtId="0" fontId="22" fillId="4" borderId="0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/>
    </xf>
    <xf numFmtId="0" fontId="22" fillId="4" borderId="12" xfId="0" applyFont="1" applyFill="1" applyBorder="1" applyAlignment="1">
      <alignment horizontal="center" vertical="top" wrapText="1"/>
    </xf>
    <xf numFmtId="0" fontId="32" fillId="26" borderId="12" xfId="0" applyFont="1" applyFill="1" applyBorder="1" applyAlignment="1">
      <alignment/>
    </xf>
    <xf numFmtId="0" fontId="32" fillId="26" borderId="11" xfId="0" applyFont="1" applyFill="1" applyBorder="1" applyAlignment="1">
      <alignment/>
    </xf>
    <xf numFmtId="0" fontId="32" fillId="26" borderId="0" xfId="0" applyFont="1" applyFill="1" applyBorder="1" applyAlignment="1">
      <alignment/>
    </xf>
    <xf numFmtId="0" fontId="6" fillId="0" borderId="11" xfId="0" applyFont="1" applyFill="1" applyBorder="1" applyAlignment="1">
      <alignment horizontal="justify" vertical="top" wrapText="1"/>
    </xf>
    <xf numFmtId="0" fontId="6" fillId="4" borderId="0" xfId="0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top" wrapText="1"/>
    </xf>
    <xf numFmtId="0" fontId="15" fillId="22" borderId="0" xfId="0" applyFont="1" applyFill="1" applyBorder="1" applyAlignment="1">
      <alignment vertical="top"/>
    </xf>
    <xf numFmtId="1" fontId="6" fillId="5" borderId="11" xfId="0" applyNumberFormat="1" applyFont="1" applyFill="1" applyBorder="1" applyAlignment="1">
      <alignment horizontal="right" vertical="top"/>
    </xf>
    <xf numFmtId="0" fontId="15" fillId="5" borderId="0" xfId="0" applyFont="1" applyFill="1" applyBorder="1" applyAlignment="1">
      <alignment vertical="top"/>
    </xf>
    <xf numFmtId="0" fontId="6" fillId="22" borderId="0" xfId="0" applyFont="1" applyFill="1" applyBorder="1" applyAlignment="1">
      <alignment vertical="top"/>
    </xf>
    <xf numFmtId="0" fontId="13" fillId="4" borderId="0" xfId="0" applyFont="1" applyFill="1" applyAlignment="1">
      <alignment vertical="top"/>
    </xf>
    <xf numFmtId="1" fontId="6" fillId="5" borderId="10" xfId="0" applyNumberFormat="1" applyFont="1" applyFill="1" applyBorder="1" applyAlignment="1">
      <alignment horizontal="right" vertical="top"/>
    </xf>
    <xf numFmtId="1" fontId="6" fillId="5" borderId="0" xfId="0" applyNumberFormat="1" applyFont="1" applyFill="1" applyBorder="1" applyAlignment="1">
      <alignment horizontal="right" vertical="top"/>
    </xf>
    <xf numFmtId="0" fontId="13" fillId="5" borderId="0" xfId="0" applyFont="1" applyFill="1" applyBorder="1" applyAlignment="1">
      <alignment vertical="top"/>
    </xf>
    <xf numFmtId="0" fontId="14" fillId="4" borderId="0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center" vertical="top" wrapText="1"/>
    </xf>
    <xf numFmtId="0" fontId="13" fillId="4" borderId="0" xfId="0" applyFont="1" applyFill="1" applyAlignment="1">
      <alignment horizontal="center" vertical="top" wrapText="1"/>
    </xf>
    <xf numFmtId="0" fontId="15" fillId="4" borderId="0" xfId="0" applyFont="1" applyFill="1" applyBorder="1" applyAlignment="1">
      <alignment vertical="top"/>
    </xf>
    <xf numFmtId="1" fontId="13" fillId="4" borderId="0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vertical="top" wrapText="1"/>
    </xf>
    <xf numFmtId="1" fontId="6" fillId="0" borderId="11" xfId="57" applyNumberFormat="1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6" fillId="0" borderId="11" xfId="0" applyFont="1" applyFill="1" applyBorder="1" applyAlignment="1">
      <alignment horizontal="right" vertical="top"/>
    </xf>
    <xf numFmtId="0" fontId="13" fillId="0" borderId="11" xfId="0" applyNumberFormat="1" applyFont="1" applyFill="1" applyBorder="1" applyAlignment="1">
      <alignment horizontal="center" vertical="top"/>
    </xf>
    <xf numFmtId="1" fontId="6" fillId="0" borderId="13" xfId="0" applyNumberFormat="1" applyFont="1" applyFill="1" applyBorder="1" applyAlignment="1">
      <alignment horizontal="right" vertical="top"/>
    </xf>
    <xf numFmtId="1" fontId="6" fillId="0" borderId="15" xfId="0" applyNumberFormat="1" applyFont="1" applyFill="1" applyBorder="1" applyAlignment="1">
      <alignment horizontal="right" vertical="top"/>
    </xf>
    <xf numFmtId="1" fontId="6" fillId="0" borderId="15" xfId="0" applyNumberFormat="1" applyFont="1" applyFill="1" applyBorder="1" applyAlignment="1">
      <alignment horizontal="right" vertical="top" wrapText="1"/>
    </xf>
    <xf numFmtId="1" fontId="13" fillId="0" borderId="15" xfId="0" applyNumberFormat="1" applyFont="1" applyFill="1" applyBorder="1" applyAlignment="1">
      <alignment horizontal="right" vertical="top" wrapText="1"/>
    </xf>
    <xf numFmtId="0" fontId="21" fillId="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1" fontId="6" fillId="0" borderId="11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3" fillId="0" borderId="16" xfId="0" applyFont="1" applyFill="1" applyBorder="1" applyAlignment="1">
      <alignment horizontal="center" wrapText="1"/>
    </xf>
    <xf numFmtId="1" fontId="14" fillId="0" borderId="16" xfId="0" applyNumberFormat="1" applyFont="1" applyFill="1" applyBorder="1" applyAlignment="1">
      <alignment horizontal="center" wrapText="1"/>
    </xf>
    <xf numFmtId="0" fontId="28" fillId="0" borderId="17" xfId="0" applyFont="1" applyFill="1" applyBorder="1" applyAlignment="1">
      <alignment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1" fontId="10" fillId="0" borderId="17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1" fontId="6" fillId="0" borderId="14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vertical="top" wrapText="1"/>
    </xf>
    <xf numFmtId="1" fontId="10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wrapText="1"/>
    </xf>
    <xf numFmtId="1" fontId="4" fillId="0" borderId="14" xfId="0" applyNumberFormat="1" applyFont="1" applyFill="1" applyBorder="1" applyAlignment="1">
      <alignment horizontal="center" vertical="top" wrapText="1"/>
    </xf>
    <xf numFmtId="0" fontId="28" fillId="0" borderId="20" xfId="0" applyFont="1" applyFill="1" applyBorder="1" applyAlignment="1">
      <alignment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1" fontId="6" fillId="0" borderId="20" xfId="0" applyNumberFormat="1" applyFont="1" applyFill="1" applyBorder="1" applyAlignment="1">
      <alignment horizontal="center" vertical="top" wrapText="1"/>
    </xf>
    <xf numFmtId="1" fontId="10" fillId="0" borderId="20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 vertical="top" wrapText="1"/>
    </xf>
    <xf numFmtId="1" fontId="13" fillId="0" borderId="19" xfId="0" applyNumberFormat="1" applyFont="1" applyFill="1" applyBorder="1" applyAlignment="1">
      <alignment horizontal="center" vertical="top" wrapText="1"/>
    </xf>
    <xf numFmtId="1" fontId="13" fillId="0" borderId="16" xfId="0" applyNumberFormat="1" applyFont="1" applyFill="1" applyBorder="1" applyAlignment="1">
      <alignment horizontal="center" vertical="top" wrapText="1"/>
    </xf>
    <xf numFmtId="1" fontId="13" fillId="0" borderId="21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vertical="top" wrapText="1"/>
    </xf>
    <xf numFmtId="49" fontId="6" fillId="0" borderId="16" xfId="0" applyNumberFormat="1" applyFont="1" applyFill="1" applyBorder="1" applyAlignment="1">
      <alignment horizontal="center" wrapText="1"/>
    </xf>
    <xf numFmtId="1" fontId="13" fillId="0" borderId="12" xfId="0" applyNumberFormat="1" applyFont="1" applyFill="1" applyBorder="1" applyAlignment="1">
      <alignment horizontal="center" vertical="top" wrapText="1"/>
    </xf>
    <xf numFmtId="1" fontId="13" fillId="0" borderId="11" xfId="0" applyNumberFormat="1" applyFont="1" applyFill="1" applyBorder="1" applyAlignment="1">
      <alignment horizontal="center" vertical="top" wrapText="1"/>
    </xf>
    <xf numFmtId="1" fontId="13" fillId="0" borderId="14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1" fontId="13" fillId="0" borderId="20" xfId="0" applyNumberFormat="1" applyFont="1" applyFill="1" applyBorder="1" applyAlignment="1">
      <alignment horizontal="center" vertical="top" wrapText="1"/>
    </xf>
    <xf numFmtId="1" fontId="13" fillId="0" borderId="17" xfId="0" applyNumberFormat="1" applyFont="1" applyFill="1" applyBorder="1" applyAlignment="1">
      <alignment horizontal="center" vertical="top" wrapText="1"/>
    </xf>
    <xf numFmtId="1" fontId="28" fillId="0" borderId="17" xfId="0" applyNumberFormat="1" applyFont="1" applyFill="1" applyBorder="1" applyAlignment="1">
      <alignment horizontal="center" vertical="top" wrapText="1"/>
    </xf>
    <xf numFmtId="1" fontId="28" fillId="0" borderId="20" xfId="0" applyNumberFormat="1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1" fontId="28" fillId="0" borderId="11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wrapText="1"/>
    </xf>
    <xf numFmtId="1" fontId="6" fillId="0" borderId="17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/>
    </xf>
    <xf numFmtId="1" fontId="14" fillId="0" borderId="11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wrapText="1"/>
    </xf>
    <xf numFmtId="0" fontId="28" fillId="0" borderId="17" xfId="0" applyFont="1" applyFill="1" applyBorder="1" applyAlignment="1">
      <alignment horizontal="left" vertical="top" wrapText="1"/>
    </xf>
    <xf numFmtId="1" fontId="30" fillId="0" borderId="11" xfId="0" applyNumberFormat="1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top" wrapText="1"/>
    </xf>
    <xf numFmtId="0" fontId="7" fillId="26" borderId="14" xfId="0" applyFont="1" applyFill="1" applyBorder="1" applyAlignment="1">
      <alignment horizontal="left" vertical="top" wrapText="1"/>
    </xf>
    <xf numFmtId="0" fontId="7" fillId="26" borderId="10" xfId="0" applyFont="1" applyFill="1" applyBorder="1" applyAlignment="1">
      <alignment horizontal="left" vertical="top" wrapText="1"/>
    </xf>
    <xf numFmtId="0" fontId="7" fillId="26" borderId="12" xfId="0" applyFont="1" applyFill="1" applyBorder="1" applyAlignment="1">
      <alignment horizontal="left" vertical="top" wrapText="1"/>
    </xf>
    <xf numFmtId="0" fontId="7" fillId="24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21" fillId="24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7" fillId="24" borderId="17" xfId="0" applyFont="1" applyFill="1" applyBorder="1" applyAlignment="1">
      <alignment horizontal="center" vertical="top" wrapText="1"/>
    </xf>
    <xf numFmtId="0" fontId="7" fillId="24" borderId="16" xfId="0" applyFont="1" applyFill="1" applyBorder="1" applyAlignment="1">
      <alignment horizontal="center" vertical="top" wrapText="1"/>
    </xf>
    <xf numFmtId="0" fontId="7" fillId="26" borderId="11" xfId="0" applyFont="1" applyFill="1" applyBorder="1" applyAlignment="1">
      <alignment horizontal="left" vertical="top" wrapText="1"/>
    </xf>
    <xf numFmtId="1" fontId="6" fillId="0" borderId="0" xfId="0" applyNumberFormat="1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264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X7" sqref="X7"/>
    </sheetView>
  </sheetViews>
  <sheetFormatPr defaultColWidth="9.00390625" defaultRowHeight="12.75"/>
  <cols>
    <col min="1" max="1" width="4.125" style="12" customWidth="1"/>
    <col min="2" max="2" width="70.75390625" style="215" customWidth="1"/>
    <col min="3" max="3" width="14.00390625" style="15" customWidth="1"/>
    <col min="4" max="4" width="9.75390625" style="40" customWidth="1"/>
    <col min="5" max="5" width="8.875" style="40" customWidth="1"/>
    <col min="6" max="6" width="5.375" style="40" hidden="1" customWidth="1"/>
    <col min="7" max="10" width="6.375" style="40" hidden="1" customWidth="1"/>
    <col min="11" max="11" width="6.25390625" style="40" hidden="1" customWidth="1"/>
    <col min="12" max="12" width="7.75390625" style="40" customWidth="1"/>
    <col min="13" max="13" width="7.625" style="40" customWidth="1"/>
    <col min="14" max="15" width="7.125" style="40" customWidth="1"/>
    <col min="16" max="16" width="8.00390625" style="40" customWidth="1"/>
    <col min="17" max="17" width="3.625" style="10" hidden="1" customWidth="1"/>
    <col min="18" max="18" width="2.375" style="10" hidden="1" customWidth="1"/>
    <col min="19" max="19" width="1.37890625" style="1" hidden="1" customWidth="1"/>
    <col min="20" max="188" width="9.125" style="2" customWidth="1"/>
    <col min="189" max="16384" width="9.125" style="3" customWidth="1"/>
  </cols>
  <sheetData>
    <row r="1" spans="2:18" ht="16.5" customHeight="1">
      <c r="B1" s="105"/>
      <c r="G1" s="338"/>
      <c r="H1" s="338"/>
      <c r="I1" s="338"/>
      <c r="J1" s="338"/>
      <c r="K1" s="338"/>
      <c r="L1" s="338" t="s">
        <v>27</v>
      </c>
      <c r="M1" s="338"/>
      <c r="N1" s="338"/>
      <c r="O1" s="338"/>
      <c r="P1" s="338"/>
      <c r="Q1" s="11"/>
      <c r="R1" s="11"/>
    </row>
    <row r="2" spans="1:19" ht="56.25" customHeight="1">
      <c r="A2" s="324" t="s">
        <v>882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19"/>
      <c r="R2" s="19"/>
      <c r="S2" s="6"/>
    </row>
    <row r="3" spans="1:19" ht="14.25" customHeight="1">
      <c r="A3" s="262"/>
      <c r="B3" s="263"/>
      <c r="C3" s="264"/>
      <c r="D3" s="265"/>
      <c r="E3" s="265"/>
      <c r="F3" s="265"/>
      <c r="G3" s="265"/>
      <c r="H3" s="265"/>
      <c r="I3" s="265"/>
      <c r="J3" s="265"/>
      <c r="K3" s="265"/>
      <c r="L3" s="266"/>
      <c r="M3" s="266"/>
      <c r="N3" s="266"/>
      <c r="O3" s="266"/>
      <c r="P3" s="266"/>
      <c r="Q3" s="19"/>
      <c r="R3" s="19"/>
      <c r="S3" s="6"/>
    </row>
    <row r="4" spans="1:188" s="26" customFormat="1" ht="29.25" customHeight="1">
      <c r="A4" s="335" t="s">
        <v>673</v>
      </c>
      <c r="B4" s="335" t="s">
        <v>674</v>
      </c>
      <c r="C4" s="334" t="s">
        <v>588</v>
      </c>
      <c r="D4" s="336" t="s">
        <v>152</v>
      </c>
      <c r="E4" s="336" t="s">
        <v>879</v>
      </c>
      <c r="F4" s="337" t="s">
        <v>586</v>
      </c>
      <c r="G4" s="337"/>
      <c r="H4" s="337"/>
      <c r="I4" s="337"/>
      <c r="J4" s="337"/>
      <c r="K4" s="337"/>
      <c r="L4" s="337" t="s">
        <v>587</v>
      </c>
      <c r="M4" s="337"/>
      <c r="N4" s="337"/>
      <c r="O4" s="337"/>
      <c r="P4" s="337"/>
      <c r="Q4" s="24"/>
      <c r="R4" s="24"/>
      <c r="S4" s="25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</row>
    <row r="5" spans="1:188" s="26" customFormat="1" ht="27" customHeight="1">
      <c r="A5" s="335"/>
      <c r="B5" s="335"/>
      <c r="C5" s="334"/>
      <c r="D5" s="336"/>
      <c r="E5" s="336"/>
      <c r="F5" s="119" t="s">
        <v>878</v>
      </c>
      <c r="G5" s="119" t="s">
        <v>33</v>
      </c>
      <c r="H5" s="119" t="s">
        <v>34</v>
      </c>
      <c r="I5" s="119" t="s">
        <v>149</v>
      </c>
      <c r="J5" s="119" t="s">
        <v>150</v>
      </c>
      <c r="K5" s="119" t="s">
        <v>151</v>
      </c>
      <c r="L5" s="119" t="s">
        <v>33</v>
      </c>
      <c r="M5" s="119" t="s">
        <v>34</v>
      </c>
      <c r="N5" s="119" t="s">
        <v>149</v>
      </c>
      <c r="O5" s="119" t="s">
        <v>150</v>
      </c>
      <c r="P5" s="119" t="s">
        <v>151</v>
      </c>
      <c r="Q5" s="124"/>
      <c r="R5" s="124"/>
      <c r="S5" s="125" t="s">
        <v>675</v>
      </c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</row>
    <row r="6" spans="1:19" ht="16.5" customHeight="1">
      <c r="A6" s="401" t="s">
        <v>628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20"/>
      <c r="R6" s="20"/>
      <c r="S6" s="7"/>
    </row>
    <row r="7" spans="1:19" ht="14.25" customHeight="1">
      <c r="A7" s="399" t="s">
        <v>663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20"/>
      <c r="R7" s="20"/>
      <c r="S7" s="7"/>
    </row>
    <row r="8" spans="1:19" ht="13.5" customHeight="1">
      <c r="A8" s="400" t="s">
        <v>909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21"/>
      <c r="R8" s="21"/>
      <c r="S8" s="8"/>
    </row>
    <row r="9" spans="1:188" s="57" customFormat="1" ht="18" customHeight="1">
      <c r="A9" s="13">
        <v>1</v>
      </c>
      <c r="B9" s="92" t="s">
        <v>153</v>
      </c>
      <c r="C9" s="45"/>
      <c r="D9" s="44">
        <v>95</v>
      </c>
      <c r="E9" s="44">
        <v>19</v>
      </c>
      <c r="F9" s="44">
        <v>86</v>
      </c>
      <c r="G9" s="44">
        <v>107</v>
      </c>
      <c r="H9" s="44">
        <v>107</v>
      </c>
      <c r="I9" s="44">
        <v>107</v>
      </c>
      <c r="J9" s="44">
        <v>107</v>
      </c>
      <c r="K9" s="44">
        <v>107</v>
      </c>
      <c r="L9" s="44">
        <f>SUM(L10,L17,L21)</f>
        <v>8</v>
      </c>
      <c r="M9" s="44">
        <v>12</v>
      </c>
      <c r="N9" s="44" t="s">
        <v>556</v>
      </c>
      <c r="O9" s="44" t="s">
        <v>556</v>
      </c>
      <c r="P9" s="44" t="s">
        <v>556</v>
      </c>
      <c r="Q9" s="54" t="s">
        <v>648</v>
      </c>
      <c r="R9" s="54">
        <v>4</v>
      </c>
      <c r="S9" s="55" t="s">
        <v>738</v>
      </c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</row>
    <row r="10" spans="1:48" s="18" customFormat="1" ht="18" customHeight="1">
      <c r="A10" s="50"/>
      <c r="B10" s="93" t="s">
        <v>669</v>
      </c>
      <c r="C10" s="16"/>
      <c r="D10" s="52"/>
      <c r="E10" s="52"/>
      <c r="F10" s="52"/>
      <c r="G10" s="52"/>
      <c r="H10" s="52"/>
      <c r="I10" s="52"/>
      <c r="J10" s="52"/>
      <c r="K10" s="52"/>
      <c r="L10" s="60">
        <f>SUM(L11:L16)</f>
        <v>8</v>
      </c>
      <c r="M10" s="60">
        <f>SUM(M11:M16)</f>
        <v>6</v>
      </c>
      <c r="N10" s="60" t="str">
        <f>N11</f>
        <v> -</v>
      </c>
      <c r="O10" s="60" t="str">
        <f>O11</f>
        <v> -</v>
      </c>
      <c r="P10" s="60" t="str">
        <f>P11</f>
        <v> -</v>
      </c>
      <c r="Q10" s="23"/>
      <c r="R10" s="23"/>
      <c r="S10" s="1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</row>
    <row r="11" spans="1:48" s="27" customFormat="1" ht="15.75" customHeight="1">
      <c r="A11" s="12"/>
      <c r="B11" s="97" t="s">
        <v>594</v>
      </c>
      <c r="C11" s="29" t="s">
        <v>783</v>
      </c>
      <c r="D11" s="51"/>
      <c r="E11" s="51"/>
      <c r="F11" s="51">
        <v>3</v>
      </c>
      <c r="G11" s="51">
        <v>18</v>
      </c>
      <c r="H11" s="51">
        <v>18</v>
      </c>
      <c r="I11" s="51">
        <v>18</v>
      </c>
      <c r="J11" s="51">
        <v>18</v>
      </c>
      <c r="K11" s="51">
        <v>18</v>
      </c>
      <c r="L11" s="40">
        <v>3</v>
      </c>
      <c r="M11" s="40" t="s">
        <v>556</v>
      </c>
      <c r="N11" s="40" t="s">
        <v>556</v>
      </c>
      <c r="O11" s="40" t="s">
        <v>556</v>
      </c>
      <c r="P11" s="40" t="s">
        <v>556</v>
      </c>
      <c r="Q11" s="33"/>
      <c r="R11" s="28"/>
      <c r="S11" s="2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</row>
    <row r="12" spans="1:48" s="27" customFormat="1" ht="15.75" customHeight="1">
      <c r="A12" s="12"/>
      <c r="B12" s="97" t="s">
        <v>1049</v>
      </c>
      <c r="C12" s="29" t="s">
        <v>1050</v>
      </c>
      <c r="D12" s="51"/>
      <c r="E12" s="51"/>
      <c r="F12" s="51"/>
      <c r="G12" s="51">
        <v>18</v>
      </c>
      <c r="H12" s="51">
        <v>18</v>
      </c>
      <c r="I12" s="51">
        <v>18</v>
      </c>
      <c r="J12" s="51">
        <v>18</v>
      </c>
      <c r="K12" s="51">
        <v>18</v>
      </c>
      <c r="L12" s="40">
        <v>2</v>
      </c>
      <c r="M12" s="40">
        <v>2</v>
      </c>
      <c r="N12" s="40"/>
      <c r="O12" s="40"/>
      <c r="P12" s="40"/>
      <c r="Q12" s="33"/>
      <c r="R12" s="33"/>
      <c r="S12" s="33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</row>
    <row r="13" spans="1:48" s="27" customFormat="1" ht="15.75" customHeight="1">
      <c r="A13" s="12"/>
      <c r="B13" s="97" t="s">
        <v>1047</v>
      </c>
      <c r="C13" s="29" t="s">
        <v>1048</v>
      </c>
      <c r="D13" s="51"/>
      <c r="E13" s="51"/>
      <c r="F13" s="51"/>
      <c r="G13" s="51">
        <v>13</v>
      </c>
      <c r="H13" s="51">
        <v>16</v>
      </c>
      <c r="I13" s="51">
        <v>16</v>
      </c>
      <c r="J13" s="51">
        <v>16</v>
      </c>
      <c r="K13" s="51">
        <v>16</v>
      </c>
      <c r="L13" s="40">
        <v>1</v>
      </c>
      <c r="M13" s="40">
        <v>3</v>
      </c>
      <c r="N13" s="40" t="s">
        <v>556</v>
      </c>
      <c r="O13" s="40" t="s">
        <v>556</v>
      </c>
      <c r="P13" s="40" t="s">
        <v>556</v>
      </c>
      <c r="Q13" s="33"/>
      <c r="R13" s="33"/>
      <c r="S13" s="33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</row>
    <row r="14" spans="1:48" s="27" customFormat="1" ht="15.75" customHeight="1">
      <c r="A14" s="12"/>
      <c r="B14" s="97" t="s">
        <v>634</v>
      </c>
      <c r="C14" s="29" t="s">
        <v>639</v>
      </c>
      <c r="D14" s="51"/>
      <c r="E14" s="51"/>
      <c r="F14" s="51"/>
      <c r="G14" s="51">
        <v>3</v>
      </c>
      <c r="H14" s="51">
        <v>3</v>
      </c>
      <c r="I14" s="51">
        <v>3</v>
      </c>
      <c r="J14" s="51">
        <v>3</v>
      </c>
      <c r="K14" s="51">
        <v>3</v>
      </c>
      <c r="L14" s="40">
        <v>1</v>
      </c>
      <c r="M14" s="40" t="s">
        <v>556</v>
      </c>
      <c r="N14" s="40" t="s">
        <v>556</v>
      </c>
      <c r="O14" s="40" t="s">
        <v>556</v>
      </c>
      <c r="P14" s="40" t="s">
        <v>556</v>
      </c>
      <c r="Q14" s="33"/>
      <c r="R14" s="33"/>
      <c r="S14" s="33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</row>
    <row r="15" spans="1:48" s="27" customFormat="1" ht="15.75" customHeight="1">
      <c r="A15" s="12"/>
      <c r="B15" s="97" t="s">
        <v>453</v>
      </c>
      <c r="C15" s="29" t="s">
        <v>454</v>
      </c>
      <c r="D15" s="51"/>
      <c r="E15" s="51"/>
      <c r="F15" s="51"/>
      <c r="G15" s="51">
        <v>4</v>
      </c>
      <c r="H15" s="51">
        <v>4</v>
      </c>
      <c r="I15" s="51">
        <v>4</v>
      </c>
      <c r="J15" s="51">
        <v>4</v>
      </c>
      <c r="K15" s="51">
        <v>4</v>
      </c>
      <c r="L15" s="40" t="s">
        <v>556</v>
      </c>
      <c r="M15" s="40">
        <v>1</v>
      </c>
      <c r="N15" s="40" t="s">
        <v>556</v>
      </c>
      <c r="O15" s="40" t="s">
        <v>556</v>
      </c>
      <c r="P15" s="40" t="s">
        <v>556</v>
      </c>
      <c r="Q15" s="33"/>
      <c r="R15" s="33"/>
      <c r="S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</row>
    <row r="16" spans="1:48" s="27" customFormat="1" ht="15.75" customHeight="1">
      <c r="A16" s="12"/>
      <c r="B16" s="97" t="s">
        <v>411</v>
      </c>
      <c r="C16" s="15" t="s">
        <v>412</v>
      </c>
      <c r="D16" s="51"/>
      <c r="E16" s="51"/>
      <c r="F16" s="51"/>
      <c r="G16" s="51">
        <v>1</v>
      </c>
      <c r="H16" s="51">
        <v>1</v>
      </c>
      <c r="I16" s="51">
        <v>1</v>
      </c>
      <c r="J16" s="51">
        <v>1</v>
      </c>
      <c r="K16" s="51">
        <v>1</v>
      </c>
      <c r="L16" s="40">
        <v>1</v>
      </c>
      <c r="M16" s="40" t="s">
        <v>556</v>
      </c>
      <c r="N16" s="40" t="s">
        <v>556</v>
      </c>
      <c r="O16" s="40" t="s">
        <v>556</v>
      </c>
      <c r="P16" s="40" t="s">
        <v>556</v>
      </c>
      <c r="Q16" s="33"/>
      <c r="R16" s="33"/>
      <c r="S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</row>
    <row r="17" spans="1:48" s="18" customFormat="1" ht="17.25" customHeight="1">
      <c r="A17" s="50"/>
      <c r="B17" s="93" t="s">
        <v>670</v>
      </c>
      <c r="C17" s="16"/>
      <c r="D17" s="52"/>
      <c r="E17" s="52"/>
      <c r="F17" s="52"/>
      <c r="G17" s="52"/>
      <c r="H17" s="52"/>
      <c r="I17" s="52"/>
      <c r="J17" s="52"/>
      <c r="K17" s="52"/>
      <c r="L17" s="40" t="s">
        <v>556</v>
      </c>
      <c r="M17" s="40">
        <v>3</v>
      </c>
      <c r="N17" s="40" t="s">
        <v>556</v>
      </c>
      <c r="O17" s="40" t="s">
        <v>556</v>
      </c>
      <c r="P17" s="40" t="s">
        <v>556</v>
      </c>
      <c r="Q17" s="23"/>
      <c r="R17" s="23"/>
      <c r="S17" s="1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</row>
    <row r="18" spans="1:48" s="27" customFormat="1" ht="15" customHeight="1">
      <c r="A18" s="12"/>
      <c r="B18" s="97" t="s">
        <v>561</v>
      </c>
      <c r="C18" s="29" t="s">
        <v>1053</v>
      </c>
      <c r="D18" s="51"/>
      <c r="E18" s="51"/>
      <c r="F18" s="51">
        <v>2</v>
      </c>
      <c r="G18" s="51">
        <v>3</v>
      </c>
      <c r="H18" s="51">
        <v>3</v>
      </c>
      <c r="I18" s="51">
        <v>3</v>
      </c>
      <c r="J18" s="51">
        <v>3</v>
      </c>
      <c r="K18" s="51">
        <v>3</v>
      </c>
      <c r="L18" s="40" t="s">
        <v>556</v>
      </c>
      <c r="M18" s="40">
        <v>1</v>
      </c>
      <c r="N18" s="40" t="s">
        <v>556</v>
      </c>
      <c r="O18" s="40" t="s">
        <v>556</v>
      </c>
      <c r="P18" s="40" t="s">
        <v>556</v>
      </c>
      <c r="Q18" s="30"/>
      <c r="R18" s="30"/>
      <c r="S18" s="30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</row>
    <row r="19" spans="1:48" s="27" customFormat="1" ht="17.25" customHeight="1">
      <c r="A19" s="12"/>
      <c r="B19" s="97" t="s">
        <v>65</v>
      </c>
      <c r="C19" s="29" t="s">
        <v>66</v>
      </c>
      <c r="D19" s="51"/>
      <c r="E19" s="51"/>
      <c r="F19" s="51"/>
      <c r="G19" s="51">
        <v>1</v>
      </c>
      <c r="H19" s="51">
        <v>1</v>
      </c>
      <c r="I19" s="51">
        <v>1</v>
      </c>
      <c r="J19" s="51">
        <v>1</v>
      </c>
      <c r="K19" s="51">
        <v>1</v>
      </c>
      <c r="L19" s="40" t="s">
        <v>556</v>
      </c>
      <c r="M19" s="40">
        <v>1</v>
      </c>
      <c r="N19" s="40" t="s">
        <v>556</v>
      </c>
      <c r="O19" s="40" t="s">
        <v>556</v>
      </c>
      <c r="P19" s="40" t="s">
        <v>556</v>
      </c>
      <c r="Q19" s="30"/>
      <c r="R19" s="30"/>
      <c r="S19" s="30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</row>
    <row r="20" spans="1:48" s="27" customFormat="1" ht="17.25" customHeight="1">
      <c r="A20" s="12"/>
      <c r="B20" s="97" t="s">
        <v>257</v>
      </c>
      <c r="C20" s="29" t="s">
        <v>258</v>
      </c>
      <c r="D20" s="51"/>
      <c r="E20" s="51"/>
      <c r="F20" s="51"/>
      <c r="G20" s="51">
        <v>1</v>
      </c>
      <c r="H20" s="51">
        <v>1</v>
      </c>
      <c r="I20" s="51">
        <v>1</v>
      </c>
      <c r="J20" s="51">
        <v>1</v>
      </c>
      <c r="K20" s="51">
        <v>1</v>
      </c>
      <c r="L20" s="40" t="s">
        <v>556</v>
      </c>
      <c r="M20" s="40">
        <v>1</v>
      </c>
      <c r="N20" s="40" t="s">
        <v>556</v>
      </c>
      <c r="O20" s="40" t="s">
        <v>556</v>
      </c>
      <c r="P20" s="40" t="s">
        <v>556</v>
      </c>
      <c r="Q20" s="30"/>
      <c r="R20" s="30"/>
      <c r="S20" s="30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</row>
    <row r="21" spans="1:48" s="18" customFormat="1" ht="17.25" customHeight="1">
      <c r="A21" s="50"/>
      <c r="B21" s="93" t="s">
        <v>37</v>
      </c>
      <c r="C21" s="16"/>
      <c r="D21" s="52"/>
      <c r="E21" s="52"/>
      <c r="F21" s="52"/>
      <c r="G21" s="52"/>
      <c r="H21" s="52"/>
      <c r="I21" s="52"/>
      <c r="J21" s="52"/>
      <c r="K21" s="52"/>
      <c r="L21" s="60" t="s">
        <v>556</v>
      </c>
      <c r="M21" s="60">
        <v>3</v>
      </c>
      <c r="N21" s="60" t="s">
        <v>556</v>
      </c>
      <c r="O21" s="60" t="s">
        <v>556</v>
      </c>
      <c r="P21" s="60" t="s">
        <v>556</v>
      </c>
      <c r="Q21" s="23"/>
      <c r="R21" s="23"/>
      <c r="S21" s="1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</row>
    <row r="22" spans="1:48" s="27" customFormat="1" ht="18.75" customHeight="1">
      <c r="A22" s="12"/>
      <c r="B22" s="106" t="s">
        <v>1045</v>
      </c>
      <c r="C22" s="66" t="s">
        <v>1046</v>
      </c>
      <c r="D22" s="51"/>
      <c r="E22" s="51"/>
      <c r="F22" s="51"/>
      <c r="G22" s="51">
        <v>1</v>
      </c>
      <c r="H22" s="51">
        <v>1</v>
      </c>
      <c r="I22" s="51">
        <v>1</v>
      </c>
      <c r="J22" s="51">
        <v>1</v>
      </c>
      <c r="K22" s="51">
        <v>1</v>
      </c>
      <c r="L22" s="40" t="s">
        <v>556</v>
      </c>
      <c r="M22" s="40">
        <v>1</v>
      </c>
      <c r="N22" s="40" t="s">
        <v>556</v>
      </c>
      <c r="O22" s="40" t="s">
        <v>556</v>
      </c>
      <c r="P22" s="40" t="s">
        <v>556</v>
      </c>
      <c r="Q22" s="30"/>
      <c r="R22" s="30"/>
      <c r="S22" s="30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</row>
    <row r="23" spans="1:48" s="27" customFormat="1" ht="18.75" customHeight="1">
      <c r="A23" s="12"/>
      <c r="B23" s="97" t="s">
        <v>807</v>
      </c>
      <c r="C23" s="15" t="s">
        <v>810</v>
      </c>
      <c r="D23" s="51"/>
      <c r="E23" s="51"/>
      <c r="F23" s="51"/>
      <c r="G23" s="51">
        <v>1</v>
      </c>
      <c r="H23" s="51">
        <v>1</v>
      </c>
      <c r="I23" s="51">
        <v>1</v>
      </c>
      <c r="J23" s="51">
        <v>1</v>
      </c>
      <c r="K23" s="51">
        <v>1</v>
      </c>
      <c r="L23" s="40" t="s">
        <v>556</v>
      </c>
      <c r="M23" s="40">
        <v>1</v>
      </c>
      <c r="N23" s="40" t="s">
        <v>556</v>
      </c>
      <c r="O23" s="40" t="s">
        <v>556</v>
      </c>
      <c r="P23" s="40" t="s">
        <v>556</v>
      </c>
      <c r="Q23" s="30"/>
      <c r="R23" s="30"/>
      <c r="S23" s="30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</row>
    <row r="24" spans="1:48" s="27" customFormat="1" ht="17.25" customHeight="1">
      <c r="A24" s="12"/>
      <c r="B24" s="97" t="s">
        <v>867</v>
      </c>
      <c r="C24" s="29" t="s">
        <v>868</v>
      </c>
      <c r="D24" s="51"/>
      <c r="E24" s="51"/>
      <c r="F24" s="51"/>
      <c r="G24" s="51">
        <v>1</v>
      </c>
      <c r="H24" s="51">
        <v>1</v>
      </c>
      <c r="I24" s="51">
        <v>1</v>
      </c>
      <c r="J24" s="51">
        <v>1</v>
      </c>
      <c r="K24" s="51">
        <v>1</v>
      </c>
      <c r="L24" s="40" t="s">
        <v>556</v>
      </c>
      <c r="M24" s="40">
        <v>1</v>
      </c>
      <c r="N24" s="40" t="s">
        <v>556</v>
      </c>
      <c r="O24" s="40" t="s">
        <v>556</v>
      </c>
      <c r="P24" s="40" t="s">
        <v>556</v>
      </c>
      <c r="Q24" s="30"/>
      <c r="R24" s="30"/>
      <c r="S24" s="30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</row>
    <row r="25" spans="1:188" s="57" customFormat="1" ht="18" customHeight="1">
      <c r="A25" s="13">
        <v>2</v>
      </c>
      <c r="B25" s="92" t="s">
        <v>154</v>
      </c>
      <c r="C25" s="45"/>
      <c r="D25" s="44">
        <v>47</v>
      </c>
      <c r="E25" s="44">
        <v>11</v>
      </c>
      <c r="F25" s="44"/>
      <c r="G25" s="44">
        <v>55</v>
      </c>
      <c r="H25" s="44">
        <v>55</v>
      </c>
      <c r="I25" s="44">
        <v>55</v>
      </c>
      <c r="J25" s="44">
        <v>55</v>
      </c>
      <c r="K25" s="44">
        <v>55</v>
      </c>
      <c r="L25" s="44">
        <v>10</v>
      </c>
      <c r="M25" s="44">
        <v>1</v>
      </c>
      <c r="N25" s="44">
        <v>2</v>
      </c>
      <c r="O25" s="44">
        <v>2</v>
      </c>
      <c r="P25" s="44">
        <v>2</v>
      </c>
      <c r="Q25" s="54" t="s">
        <v>649</v>
      </c>
      <c r="R25" s="54">
        <v>4</v>
      </c>
      <c r="S25" s="55" t="s">
        <v>910</v>
      </c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</row>
    <row r="26" spans="1:48" s="18" customFormat="1" ht="18.75" customHeight="1">
      <c r="A26" s="50"/>
      <c r="B26" s="93" t="s">
        <v>669</v>
      </c>
      <c r="C26" s="16"/>
      <c r="D26" s="52"/>
      <c r="E26" s="52"/>
      <c r="F26" s="52"/>
      <c r="G26" s="52"/>
      <c r="H26" s="52"/>
      <c r="I26" s="52"/>
      <c r="J26" s="52"/>
      <c r="K26" s="52"/>
      <c r="L26" s="60">
        <f>SUM(L27:L30)</f>
        <v>7</v>
      </c>
      <c r="M26" s="60">
        <f>SUM(M27:M30)</f>
        <v>1</v>
      </c>
      <c r="N26" s="60">
        <f>SUM(N27:N30)</f>
        <v>2</v>
      </c>
      <c r="O26" s="60">
        <f>SUM(O27:O30)</f>
        <v>2</v>
      </c>
      <c r="P26" s="60">
        <f>SUM(P27:P30)</f>
        <v>2</v>
      </c>
      <c r="Q26" s="23"/>
      <c r="R26" s="23"/>
      <c r="S26" s="1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</row>
    <row r="27" spans="1:48" s="27" customFormat="1" ht="15.75" customHeight="1">
      <c r="A27" s="12"/>
      <c r="B27" s="97" t="s">
        <v>411</v>
      </c>
      <c r="C27" s="15" t="s">
        <v>412</v>
      </c>
      <c r="D27" s="51"/>
      <c r="E27" s="51"/>
      <c r="F27" s="51"/>
      <c r="G27" s="51">
        <v>1</v>
      </c>
      <c r="H27" s="51">
        <v>1</v>
      </c>
      <c r="I27" s="51">
        <v>1</v>
      </c>
      <c r="J27" s="51">
        <v>1</v>
      </c>
      <c r="K27" s="51">
        <v>1</v>
      </c>
      <c r="L27" s="40" t="s">
        <v>556</v>
      </c>
      <c r="M27" s="40">
        <v>1</v>
      </c>
      <c r="N27" s="40" t="s">
        <v>556</v>
      </c>
      <c r="O27" s="40" t="s">
        <v>556</v>
      </c>
      <c r="P27" s="40" t="s">
        <v>556</v>
      </c>
      <c r="Q27" s="33"/>
      <c r="R27" s="28"/>
      <c r="S27" s="2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</row>
    <row r="28" spans="1:48" s="27" customFormat="1" ht="15.75" customHeight="1">
      <c r="A28" s="12"/>
      <c r="B28" s="97" t="s">
        <v>1047</v>
      </c>
      <c r="C28" s="29" t="s">
        <v>1048</v>
      </c>
      <c r="D28" s="51"/>
      <c r="E28" s="51"/>
      <c r="F28" s="51"/>
      <c r="G28" s="51">
        <v>20</v>
      </c>
      <c r="H28" s="51">
        <v>20</v>
      </c>
      <c r="I28" s="51">
        <v>20</v>
      </c>
      <c r="J28" s="51">
        <v>20</v>
      </c>
      <c r="K28" s="51">
        <v>20</v>
      </c>
      <c r="L28" s="40">
        <v>4</v>
      </c>
      <c r="M28" s="40" t="s">
        <v>556</v>
      </c>
      <c r="N28" s="40">
        <v>2</v>
      </c>
      <c r="O28" s="40">
        <v>2</v>
      </c>
      <c r="P28" s="40">
        <v>2</v>
      </c>
      <c r="Q28" s="33"/>
      <c r="R28" s="28"/>
      <c r="S28" s="2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</row>
    <row r="29" spans="1:48" s="27" customFormat="1" ht="15.75" customHeight="1">
      <c r="A29" s="12"/>
      <c r="B29" s="97" t="s">
        <v>560</v>
      </c>
      <c r="C29" s="29" t="s">
        <v>741</v>
      </c>
      <c r="D29" s="51"/>
      <c r="E29" s="51"/>
      <c r="F29" s="51"/>
      <c r="G29" s="51">
        <v>4</v>
      </c>
      <c r="H29" s="51">
        <v>4</v>
      </c>
      <c r="I29" s="51">
        <v>4</v>
      </c>
      <c r="J29" s="51">
        <v>4</v>
      </c>
      <c r="K29" s="51">
        <v>4</v>
      </c>
      <c r="L29" s="40">
        <v>1</v>
      </c>
      <c r="M29" s="40" t="s">
        <v>556</v>
      </c>
      <c r="N29" s="40" t="s">
        <v>556</v>
      </c>
      <c r="O29" s="40" t="s">
        <v>556</v>
      </c>
      <c r="P29" s="40" t="s">
        <v>556</v>
      </c>
      <c r="Q29" s="33"/>
      <c r="R29" s="28"/>
      <c r="S29" s="2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</row>
    <row r="30" spans="1:48" s="27" customFormat="1" ht="15.75" customHeight="1">
      <c r="A30" s="12"/>
      <c r="B30" s="97" t="s">
        <v>594</v>
      </c>
      <c r="C30" s="29" t="s">
        <v>783</v>
      </c>
      <c r="D30" s="51"/>
      <c r="E30" s="51"/>
      <c r="F30" s="51"/>
      <c r="G30" s="51">
        <v>6</v>
      </c>
      <c r="H30" s="51">
        <v>6</v>
      </c>
      <c r="I30" s="51">
        <v>6</v>
      </c>
      <c r="J30" s="51">
        <v>6</v>
      </c>
      <c r="K30" s="51">
        <v>6</v>
      </c>
      <c r="L30" s="40">
        <v>2</v>
      </c>
      <c r="M30" s="40" t="s">
        <v>556</v>
      </c>
      <c r="N30" s="40" t="s">
        <v>556</v>
      </c>
      <c r="O30" s="40" t="s">
        <v>556</v>
      </c>
      <c r="P30" s="40" t="s">
        <v>556</v>
      </c>
      <c r="Q30" s="33"/>
      <c r="R30" s="28"/>
      <c r="S30" s="2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</row>
    <row r="31" spans="1:48" s="18" customFormat="1" ht="16.5" customHeight="1">
      <c r="A31" s="50"/>
      <c r="B31" s="93" t="s">
        <v>670</v>
      </c>
      <c r="C31" s="16"/>
      <c r="D31" s="52"/>
      <c r="E31" s="52"/>
      <c r="F31" s="52"/>
      <c r="G31" s="52"/>
      <c r="H31" s="52"/>
      <c r="I31" s="52"/>
      <c r="J31" s="52"/>
      <c r="K31" s="52"/>
      <c r="L31" s="60">
        <v>2</v>
      </c>
      <c r="M31" s="60" t="s">
        <v>556</v>
      </c>
      <c r="N31" s="60" t="s">
        <v>556</v>
      </c>
      <c r="O31" s="60" t="s">
        <v>556</v>
      </c>
      <c r="P31" s="60" t="s">
        <v>556</v>
      </c>
      <c r="Q31" s="23"/>
      <c r="R31" s="23"/>
      <c r="S31" s="1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</row>
    <row r="32" spans="1:48" s="27" customFormat="1" ht="18.75" customHeight="1">
      <c r="A32" s="12"/>
      <c r="B32" s="97" t="s">
        <v>561</v>
      </c>
      <c r="C32" s="29" t="s">
        <v>1053</v>
      </c>
      <c r="D32" s="51"/>
      <c r="E32" s="51"/>
      <c r="F32" s="51"/>
      <c r="G32" s="51">
        <v>3</v>
      </c>
      <c r="H32" s="51">
        <v>3</v>
      </c>
      <c r="I32" s="51">
        <v>3</v>
      </c>
      <c r="J32" s="51">
        <v>3</v>
      </c>
      <c r="K32" s="51">
        <v>3</v>
      </c>
      <c r="L32" s="40">
        <v>2</v>
      </c>
      <c r="M32" s="40" t="s">
        <v>556</v>
      </c>
      <c r="N32" s="40" t="s">
        <v>556</v>
      </c>
      <c r="O32" s="40" t="s">
        <v>556</v>
      </c>
      <c r="P32" s="40" t="s">
        <v>556</v>
      </c>
      <c r="Q32" s="30"/>
      <c r="R32" s="30"/>
      <c r="S32" s="30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</row>
    <row r="33" spans="1:48" s="27" customFormat="1" ht="16.5" customHeight="1">
      <c r="A33" s="12"/>
      <c r="B33" s="93" t="s">
        <v>37</v>
      </c>
      <c r="C33" s="29"/>
      <c r="D33" s="51"/>
      <c r="E33" s="51"/>
      <c r="F33" s="51"/>
      <c r="G33" s="51"/>
      <c r="H33" s="51"/>
      <c r="I33" s="51"/>
      <c r="J33" s="51"/>
      <c r="K33" s="51"/>
      <c r="L33" s="40">
        <v>1</v>
      </c>
      <c r="M33" s="40" t="s">
        <v>556</v>
      </c>
      <c r="N33" s="40" t="s">
        <v>556</v>
      </c>
      <c r="O33" s="40" t="s">
        <v>556</v>
      </c>
      <c r="P33" s="40" t="s">
        <v>556</v>
      </c>
      <c r="Q33" s="30"/>
      <c r="R33" s="30"/>
      <c r="S33" s="30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</row>
    <row r="34" spans="1:48" s="87" customFormat="1" ht="17.25" customHeight="1">
      <c r="A34" s="50"/>
      <c r="B34" s="106" t="s">
        <v>1045</v>
      </c>
      <c r="C34" s="66" t="s">
        <v>1046</v>
      </c>
      <c r="D34" s="51"/>
      <c r="E34" s="51"/>
      <c r="F34" s="51"/>
      <c r="G34" s="51">
        <v>1</v>
      </c>
      <c r="H34" s="51">
        <v>1</v>
      </c>
      <c r="I34" s="51">
        <v>1</v>
      </c>
      <c r="J34" s="51">
        <v>1</v>
      </c>
      <c r="K34" s="51">
        <v>1</v>
      </c>
      <c r="L34" s="40">
        <v>1</v>
      </c>
      <c r="M34" s="40" t="s">
        <v>556</v>
      </c>
      <c r="N34" s="40" t="s">
        <v>556</v>
      </c>
      <c r="O34" s="40" t="s">
        <v>556</v>
      </c>
      <c r="P34" s="40" t="s">
        <v>556</v>
      </c>
      <c r="Q34" s="77"/>
      <c r="R34" s="77"/>
      <c r="S34" s="77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</row>
    <row r="35" spans="1:188" s="57" customFormat="1" ht="18" customHeight="1">
      <c r="A35" s="13">
        <v>3</v>
      </c>
      <c r="B35" s="92" t="s">
        <v>768</v>
      </c>
      <c r="C35" s="45"/>
      <c r="D35" s="44">
        <v>8</v>
      </c>
      <c r="E35" s="44" t="s">
        <v>556</v>
      </c>
      <c r="F35" s="44">
        <v>71</v>
      </c>
      <c r="G35" s="44">
        <v>7</v>
      </c>
      <c r="H35" s="44">
        <v>7</v>
      </c>
      <c r="I35" s="44">
        <v>7</v>
      </c>
      <c r="J35" s="44">
        <v>7</v>
      </c>
      <c r="K35" s="44">
        <v>7</v>
      </c>
      <c r="L35" s="44">
        <v>3</v>
      </c>
      <c r="M35" s="44" t="s">
        <v>556</v>
      </c>
      <c r="N35" s="44" t="s">
        <v>556</v>
      </c>
      <c r="O35" s="44" t="s">
        <v>556</v>
      </c>
      <c r="P35" s="44" t="s">
        <v>556</v>
      </c>
      <c r="Q35" s="54" t="s">
        <v>649</v>
      </c>
      <c r="R35" s="54">
        <v>4</v>
      </c>
      <c r="S35" s="55" t="s">
        <v>910</v>
      </c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</row>
    <row r="36" spans="1:48" s="18" customFormat="1" ht="18" customHeight="1">
      <c r="A36" s="50"/>
      <c r="B36" s="93" t="s">
        <v>669</v>
      </c>
      <c r="C36" s="16"/>
      <c r="D36" s="52"/>
      <c r="E36" s="52"/>
      <c r="F36" s="52"/>
      <c r="G36" s="52"/>
      <c r="H36" s="52"/>
      <c r="I36" s="52"/>
      <c r="J36" s="52"/>
      <c r="K36" s="52"/>
      <c r="L36" s="60">
        <v>1</v>
      </c>
      <c r="M36" s="60" t="s">
        <v>556</v>
      </c>
      <c r="N36" s="60" t="s">
        <v>556</v>
      </c>
      <c r="O36" s="60" t="s">
        <v>556</v>
      </c>
      <c r="P36" s="60" t="s">
        <v>556</v>
      </c>
      <c r="Q36" s="23"/>
      <c r="R36" s="23"/>
      <c r="S36" s="1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</row>
    <row r="37" spans="1:48" s="27" customFormat="1" ht="15.75" customHeight="1">
      <c r="A37" s="12"/>
      <c r="B37" s="105" t="s">
        <v>1034</v>
      </c>
      <c r="C37" s="15" t="s">
        <v>1035</v>
      </c>
      <c r="D37" s="51"/>
      <c r="E37" s="51"/>
      <c r="F37" s="51">
        <v>1</v>
      </c>
      <c r="G37" s="51">
        <v>4</v>
      </c>
      <c r="H37" s="51">
        <v>4</v>
      </c>
      <c r="I37" s="51">
        <v>4</v>
      </c>
      <c r="J37" s="51">
        <v>4</v>
      </c>
      <c r="K37" s="51">
        <v>4</v>
      </c>
      <c r="L37" s="40">
        <v>1</v>
      </c>
      <c r="M37" s="40" t="s">
        <v>556</v>
      </c>
      <c r="N37" s="40" t="s">
        <v>556</v>
      </c>
      <c r="O37" s="40" t="s">
        <v>556</v>
      </c>
      <c r="P37" s="40" t="s">
        <v>556</v>
      </c>
      <c r="Q37" s="33"/>
      <c r="R37" s="28"/>
      <c r="S37" s="2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</row>
    <row r="38" spans="1:48" s="18" customFormat="1" ht="16.5" customHeight="1">
      <c r="A38" s="50"/>
      <c r="B38" s="93" t="s">
        <v>670</v>
      </c>
      <c r="C38" s="16"/>
      <c r="D38" s="52"/>
      <c r="E38" s="52"/>
      <c r="F38" s="52"/>
      <c r="G38" s="52"/>
      <c r="H38" s="52"/>
      <c r="I38" s="52"/>
      <c r="J38" s="52"/>
      <c r="K38" s="52"/>
      <c r="L38" s="60">
        <f>L39</f>
        <v>1</v>
      </c>
      <c r="M38" s="60" t="s">
        <v>556</v>
      </c>
      <c r="N38" s="60" t="s">
        <v>556</v>
      </c>
      <c r="O38" s="60" t="s">
        <v>556</v>
      </c>
      <c r="P38" s="60" t="s">
        <v>556</v>
      </c>
      <c r="Q38" s="23"/>
      <c r="R38" s="23"/>
      <c r="S38" s="1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</row>
    <row r="39" spans="1:48" s="27" customFormat="1" ht="18.75" customHeight="1">
      <c r="A39" s="12"/>
      <c r="B39" s="97" t="s">
        <v>769</v>
      </c>
      <c r="C39" s="29" t="s">
        <v>770</v>
      </c>
      <c r="D39" s="51"/>
      <c r="E39" s="51"/>
      <c r="F39" s="51">
        <v>5</v>
      </c>
      <c r="G39" s="51">
        <v>1</v>
      </c>
      <c r="H39" s="51">
        <v>1</v>
      </c>
      <c r="I39" s="51">
        <v>1</v>
      </c>
      <c r="J39" s="51">
        <v>1</v>
      </c>
      <c r="K39" s="51">
        <v>1</v>
      </c>
      <c r="L39" s="40">
        <v>1</v>
      </c>
      <c r="M39" s="40" t="s">
        <v>556</v>
      </c>
      <c r="N39" s="40" t="s">
        <v>556</v>
      </c>
      <c r="O39" s="40" t="s">
        <v>556</v>
      </c>
      <c r="P39" s="40" t="s">
        <v>556</v>
      </c>
      <c r="Q39" s="30"/>
      <c r="R39" s="30"/>
      <c r="S39" s="30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</row>
    <row r="40" spans="1:48" s="27" customFormat="1" ht="17.25" customHeight="1">
      <c r="A40" s="12"/>
      <c r="B40" s="93" t="s">
        <v>37</v>
      </c>
      <c r="C40" s="29"/>
      <c r="D40" s="51"/>
      <c r="E40" s="51"/>
      <c r="F40" s="51"/>
      <c r="G40" s="51"/>
      <c r="H40" s="51"/>
      <c r="I40" s="51"/>
      <c r="J40" s="51"/>
      <c r="K40" s="51"/>
      <c r="L40" s="60">
        <f>L41</f>
        <v>1</v>
      </c>
      <c r="M40" s="40" t="s">
        <v>556</v>
      </c>
      <c r="N40" s="40" t="s">
        <v>556</v>
      </c>
      <c r="O40" s="40" t="s">
        <v>556</v>
      </c>
      <c r="P40" s="40" t="s">
        <v>556</v>
      </c>
      <c r="Q40" s="30"/>
      <c r="R40" s="30"/>
      <c r="S40" s="30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</row>
    <row r="41" spans="1:48" s="87" customFormat="1" ht="17.25" customHeight="1">
      <c r="A41" s="50"/>
      <c r="B41" s="97" t="s">
        <v>771</v>
      </c>
      <c r="C41" s="65" t="s">
        <v>772</v>
      </c>
      <c r="D41" s="51"/>
      <c r="E41" s="51"/>
      <c r="F41" s="51" t="s">
        <v>556</v>
      </c>
      <c r="G41" s="51">
        <v>1</v>
      </c>
      <c r="H41" s="51">
        <v>1</v>
      </c>
      <c r="I41" s="51">
        <v>1</v>
      </c>
      <c r="J41" s="51">
        <v>1</v>
      </c>
      <c r="K41" s="51">
        <v>1</v>
      </c>
      <c r="L41" s="40">
        <v>1</v>
      </c>
      <c r="M41" s="40" t="s">
        <v>556</v>
      </c>
      <c r="N41" s="40" t="s">
        <v>556</v>
      </c>
      <c r="O41" s="40" t="s">
        <v>556</v>
      </c>
      <c r="P41" s="40" t="s">
        <v>556</v>
      </c>
      <c r="Q41" s="77"/>
      <c r="R41" s="77"/>
      <c r="S41" s="77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</row>
    <row r="42" spans="1:188" s="57" customFormat="1" ht="18" customHeight="1">
      <c r="A42" s="13">
        <v>4</v>
      </c>
      <c r="B42" s="92" t="s">
        <v>155</v>
      </c>
      <c r="C42" s="45"/>
      <c r="D42" s="44">
        <v>97</v>
      </c>
      <c r="E42" s="44">
        <v>30</v>
      </c>
      <c r="F42" s="44"/>
      <c r="G42" s="44">
        <v>96</v>
      </c>
      <c r="H42" s="44">
        <v>96</v>
      </c>
      <c r="I42" s="44">
        <v>96</v>
      </c>
      <c r="J42" s="44">
        <v>96</v>
      </c>
      <c r="K42" s="44">
        <v>96</v>
      </c>
      <c r="L42" s="44">
        <f>SUM(L43,L51,L56)</f>
        <v>6</v>
      </c>
      <c r="M42" s="44">
        <f>SUM(M43,M51,M56)</f>
        <v>8</v>
      </c>
      <c r="N42" s="44">
        <f>SUM(N43,N51,N56)</f>
        <v>4</v>
      </c>
      <c r="O42" s="44">
        <f>SUM(O43,O51,O56)</f>
        <v>3</v>
      </c>
      <c r="P42" s="44">
        <f>SUM(P43,P51,P56)</f>
        <v>5</v>
      </c>
      <c r="Q42" s="123">
        <f>SUM(Q43,Q51)</f>
        <v>0</v>
      </c>
      <c r="R42" s="44">
        <f>SUM(R43,R51)</f>
        <v>0</v>
      </c>
      <c r="S42" s="44">
        <f>SUM(S43,S51)</f>
        <v>0</v>
      </c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</row>
    <row r="43" spans="1:48" s="18" customFormat="1" ht="17.25" customHeight="1">
      <c r="A43" s="50"/>
      <c r="B43" s="93" t="s">
        <v>669</v>
      </c>
      <c r="C43" s="16"/>
      <c r="D43" s="52"/>
      <c r="E43" s="52"/>
      <c r="F43" s="52"/>
      <c r="G43" s="52"/>
      <c r="H43" s="52"/>
      <c r="I43" s="52"/>
      <c r="J43" s="52"/>
      <c r="K43" s="52"/>
      <c r="L43" s="60">
        <f>SUM(L44:L50)</f>
        <v>4</v>
      </c>
      <c r="M43" s="60">
        <f>SUM(M44:M50)</f>
        <v>7</v>
      </c>
      <c r="N43" s="60">
        <f>SUM(N44:N50)</f>
        <v>3</v>
      </c>
      <c r="O43" s="60">
        <f>SUM(O44:O50)</f>
        <v>3</v>
      </c>
      <c r="P43" s="60">
        <f>SUM(P44:P50)</f>
        <v>3</v>
      </c>
      <c r="Q43" s="23"/>
      <c r="R43" s="23"/>
      <c r="S43" s="1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</row>
    <row r="44" spans="1:48" s="27" customFormat="1" ht="15.75" customHeight="1">
      <c r="A44" s="12"/>
      <c r="B44" s="97" t="s">
        <v>595</v>
      </c>
      <c r="C44" s="29" t="s">
        <v>596</v>
      </c>
      <c r="D44" s="51"/>
      <c r="E44" s="51"/>
      <c r="F44" s="51"/>
      <c r="G44" s="51">
        <v>1</v>
      </c>
      <c r="H44" s="51">
        <v>1</v>
      </c>
      <c r="I44" s="51">
        <v>1</v>
      </c>
      <c r="J44" s="51">
        <v>1</v>
      </c>
      <c r="K44" s="51">
        <v>1</v>
      </c>
      <c r="L44" s="40">
        <v>1</v>
      </c>
      <c r="M44" s="40" t="s">
        <v>556</v>
      </c>
      <c r="N44" s="40" t="s">
        <v>556</v>
      </c>
      <c r="O44" s="40" t="s">
        <v>556</v>
      </c>
      <c r="P44" s="40" t="s">
        <v>556</v>
      </c>
      <c r="Q44" s="30"/>
      <c r="R44" s="30"/>
      <c r="S44" s="30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</row>
    <row r="45" spans="1:48" s="27" customFormat="1" ht="18" customHeight="1">
      <c r="A45" s="12"/>
      <c r="B45" s="97" t="s">
        <v>1049</v>
      </c>
      <c r="C45" s="29" t="s">
        <v>1050</v>
      </c>
      <c r="D45" s="51"/>
      <c r="E45" s="51"/>
      <c r="F45" s="51"/>
      <c r="G45" s="51">
        <v>16</v>
      </c>
      <c r="H45" s="51">
        <v>16</v>
      </c>
      <c r="I45" s="51">
        <v>16</v>
      </c>
      <c r="J45" s="51">
        <v>16</v>
      </c>
      <c r="K45" s="51">
        <v>16</v>
      </c>
      <c r="L45" s="40" t="s">
        <v>556</v>
      </c>
      <c r="M45" s="40">
        <v>2</v>
      </c>
      <c r="N45" s="40">
        <v>1</v>
      </c>
      <c r="O45" s="40">
        <v>2</v>
      </c>
      <c r="P45" s="40">
        <v>1</v>
      </c>
      <c r="Q45" s="30"/>
      <c r="R45" s="30"/>
      <c r="S45" s="30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</row>
    <row r="46" spans="1:48" s="27" customFormat="1" ht="15.75" customHeight="1">
      <c r="A46" s="12"/>
      <c r="B46" s="97" t="s">
        <v>560</v>
      </c>
      <c r="C46" s="29" t="s">
        <v>741</v>
      </c>
      <c r="D46" s="51"/>
      <c r="E46" s="51"/>
      <c r="F46" s="51"/>
      <c r="G46" s="51">
        <v>8</v>
      </c>
      <c r="H46" s="51">
        <v>8</v>
      </c>
      <c r="I46" s="51">
        <v>8</v>
      </c>
      <c r="J46" s="51">
        <v>8</v>
      </c>
      <c r="K46" s="51">
        <v>8</v>
      </c>
      <c r="L46" s="40" t="s">
        <v>556</v>
      </c>
      <c r="M46" s="40">
        <v>2</v>
      </c>
      <c r="N46" s="40">
        <v>1</v>
      </c>
      <c r="O46" s="40" t="s">
        <v>556</v>
      </c>
      <c r="P46" s="40">
        <v>1</v>
      </c>
      <c r="Q46" s="30"/>
      <c r="R46" s="30"/>
      <c r="S46" s="30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</row>
    <row r="47" spans="1:48" s="27" customFormat="1" ht="18.75" customHeight="1">
      <c r="A47" s="12"/>
      <c r="B47" s="97" t="s">
        <v>634</v>
      </c>
      <c r="C47" s="29" t="s">
        <v>639</v>
      </c>
      <c r="D47" s="51"/>
      <c r="E47" s="51"/>
      <c r="F47" s="51"/>
      <c r="G47" s="51">
        <v>1</v>
      </c>
      <c r="H47" s="51">
        <v>1</v>
      </c>
      <c r="I47" s="51">
        <v>1</v>
      </c>
      <c r="J47" s="51">
        <v>1</v>
      </c>
      <c r="K47" s="51">
        <v>1</v>
      </c>
      <c r="L47" s="40">
        <v>1</v>
      </c>
      <c r="M47" s="40" t="s">
        <v>556</v>
      </c>
      <c r="N47" s="40" t="s">
        <v>556</v>
      </c>
      <c r="O47" s="40" t="s">
        <v>556</v>
      </c>
      <c r="P47" s="40" t="s">
        <v>556</v>
      </c>
      <c r="Q47" s="30"/>
      <c r="R47" s="30"/>
      <c r="S47" s="30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48" s="27" customFormat="1" ht="16.5" customHeight="1">
      <c r="A48" s="12"/>
      <c r="B48" s="97" t="s">
        <v>1047</v>
      </c>
      <c r="C48" s="29" t="s">
        <v>1048</v>
      </c>
      <c r="D48" s="51"/>
      <c r="E48" s="51"/>
      <c r="F48" s="51"/>
      <c r="G48" s="51">
        <v>15</v>
      </c>
      <c r="H48" s="51">
        <v>15</v>
      </c>
      <c r="I48" s="51">
        <v>15</v>
      </c>
      <c r="J48" s="51">
        <v>15</v>
      </c>
      <c r="K48" s="51">
        <v>15</v>
      </c>
      <c r="L48" s="40" t="s">
        <v>556</v>
      </c>
      <c r="M48" s="40">
        <v>2</v>
      </c>
      <c r="N48" s="40">
        <v>1</v>
      </c>
      <c r="O48" s="40">
        <v>1</v>
      </c>
      <c r="P48" s="40">
        <v>1</v>
      </c>
      <c r="Q48" s="30"/>
      <c r="R48" s="30"/>
      <c r="S48" s="30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</row>
    <row r="49" spans="1:48" s="27" customFormat="1" ht="18" customHeight="1">
      <c r="A49" s="12"/>
      <c r="B49" s="97" t="s">
        <v>411</v>
      </c>
      <c r="C49" s="15" t="s">
        <v>412</v>
      </c>
      <c r="D49" s="51"/>
      <c r="E49" s="51"/>
      <c r="F49" s="51"/>
      <c r="G49" s="51">
        <v>2</v>
      </c>
      <c r="H49" s="51">
        <v>2</v>
      </c>
      <c r="I49" s="51">
        <v>2</v>
      </c>
      <c r="J49" s="51">
        <v>2</v>
      </c>
      <c r="K49" s="51">
        <v>2</v>
      </c>
      <c r="L49" s="40">
        <v>1</v>
      </c>
      <c r="M49" s="40" t="s">
        <v>556</v>
      </c>
      <c r="N49" s="40" t="s">
        <v>556</v>
      </c>
      <c r="O49" s="40" t="s">
        <v>556</v>
      </c>
      <c r="P49" s="40" t="s">
        <v>556</v>
      </c>
      <c r="Q49" s="30"/>
      <c r="R49" s="30"/>
      <c r="S49" s="30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</row>
    <row r="50" spans="1:48" s="18" customFormat="1" ht="16.5" customHeight="1">
      <c r="A50" s="50"/>
      <c r="B50" s="97" t="s">
        <v>1316</v>
      </c>
      <c r="C50" s="29" t="s">
        <v>1317</v>
      </c>
      <c r="D50" s="51"/>
      <c r="E50" s="51"/>
      <c r="F50" s="51"/>
      <c r="G50" s="51">
        <v>4</v>
      </c>
      <c r="H50" s="51">
        <v>4</v>
      </c>
      <c r="I50" s="51">
        <v>4</v>
      </c>
      <c r="J50" s="51">
        <v>4</v>
      </c>
      <c r="K50" s="51">
        <v>4</v>
      </c>
      <c r="L50" s="40">
        <v>1</v>
      </c>
      <c r="M50" s="40">
        <v>1</v>
      </c>
      <c r="N50" s="40" t="s">
        <v>556</v>
      </c>
      <c r="O50" s="40" t="s">
        <v>556</v>
      </c>
      <c r="P50" s="40" t="s">
        <v>556</v>
      </c>
      <c r="Q50" s="77"/>
      <c r="R50" s="77"/>
      <c r="S50" s="78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</row>
    <row r="51" spans="1:48" s="18" customFormat="1" ht="18" customHeight="1">
      <c r="A51" s="50"/>
      <c r="B51" s="93" t="s">
        <v>670</v>
      </c>
      <c r="C51" s="16"/>
      <c r="D51" s="52"/>
      <c r="E51" s="52"/>
      <c r="F51" s="52"/>
      <c r="G51" s="52"/>
      <c r="H51" s="52"/>
      <c r="I51" s="52"/>
      <c r="J51" s="52"/>
      <c r="K51" s="52"/>
      <c r="L51" s="60">
        <f>SUM(L52:L55)</f>
        <v>1</v>
      </c>
      <c r="M51" s="60">
        <f>SUM(M52:M55)</f>
        <v>1</v>
      </c>
      <c r="N51" s="60">
        <f>SUM(N52:N55)</f>
        <v>1</v>
      </c>
      <c r="O51" s="60" t="s">
        <v>556</v>
      </c>
      <c r="P51" s="60">
        <f>SUM(P52:P55)</f>
        <v>2</v>
      </c>
      <c r="Q51" s="23"/>
      <c r="R51" s="23"/>
      <c r="S51" s="1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s="27" customFormat="1" ht="18.75" customHeight="1">
      <c r="A52" s="12"/>
      <c r="B52" s="97" t="s">
        <v>1054</v>
      </c>
      <c r="C52" s="29" t="s">
        <v>1055</v>
      </c>
      <c r="D52" s="51"/>
      <c r="E52" s="51"/>
      <c r="F52" s="51"/>
      <c r="G52" s="51">
        <v>2</v>
      </c>
      <c r="H52" s="51">
        <v>2</v>
      </c>
      <c r="I52" s="51">
        <v>2</v>
      </c>
      <c r="J52" s="51">
        <v>2</v>
      </c>
      <c r="K52" s="51">
        <v>2</v>
      </c>
      <c r="L52" s="40">
        <v>1</v>
      </c>
      <c r="M52" s="40" t="s">
        <v>556</v>
      </c>
      <c r="N52" s="40" t="s">
        <v>556</v>
      </c>
      <c r="O52" s="40" t="s">
        <v>556</v>
      </c>
      <c r="P52" s="40" t="s">
        <v>556</v>
      </c>
      <c r="Q52" s="33"/>
      <c r="R52" s="33"/>
      <c r="S52" s="33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</row>
    <row r="53" spans="1:48" s="27" customFormat="1" ht="18.75" customHeight="1">
      <c r="A53" s="12"/>
      <c r="B53" s="97" t="s">
        <v>561</v>
      </c>
      <c r="C53" s="29" t="s">
        <v>1053</v>
      </c>
      <c r="D53" s="51"/>
      <c r="E53" s="51"/>
      <c r="F53" s="51"/>
      <c r="G53" s="51">
        <v>3</v>
      </c>
      <c r="H53" s="51">
        <v>3</v>
      </c>
      <c r="I53" s="51">
        <v>3</v>
      </c>
      <c r="J53" s="51">
        <v>3</v>
      </c>
      <c r="K53" s="51">
        <v>3</v>
      </c>
      <c r="L53" s="40" t="s">
        <v>556</v>
      </c>
      <c r="M53" s="40" t="s">
        <v>556</v>
      </c>
      <c r="N53" s="40" t="s">
        <v>556</v>
      </c>
      <c r="O53" s="40" t="s">
        <v>556</v>
      </c>
      <c r="P53" s="40">
        <v>1</v>
      </c>
      <c r="Q53" s="30"/>
      <c r="R53" s="30"/>
      <c r="S53" s="30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</row>
    <row r="54" spans="1:48" s="27" customFormat="1" ht="18.75" customHeight="1">
      <c r="A54" s="12"/>
      <c r="B54" s="97" t="s">
        <v>65</v>
      </c>
      <c r="C54" s="29" t="s">
        <v>66</v>
      </c>
      <c r="D54" s="51"/>
      <c r="E54" s="51"/>
      <c r="F54" s="51"/>
      <c r="G54" s="51">
        <v>2</v>
      </c>
      <c r="H54" s="51">
        <v>2</v>
      </c>
      <c r="I54" s="51">
        <v>2</v>
      </c>
      <c r="J54" s="51">
        <v>2</v>
      </c>
      <c r="K54" s="51">
        <v>2</v>
      </c>
      <c r="L54" s="40" t="s">
        <v>556</v>
      </c>
      <c r="M54" s="40">
        <v>1</v>
      </c>
      <c r="N54" s="40" t="s">
        <v>556</v>
      </c>
      <c r="O54" s="40" t="s">
        <v>556</v>
      </c>
      <c r="P54" s="40">
        <v>1</v>
      </c>
      <c r="Q54" s="30"/>
      <c r="R54" s="30"/>
      <c r="S54" s="30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</row>
    <row r="55" spans="1:48" s="27" customFormat="1" ht="18" customHeight="1">
      <c r="A55" s="12"/>
      <c r="B55" s="97" t="s">
        <v>257</v>
      </c>
      <c r="C55" s="15" t="s">
        <v>258</v>
      </c>
      <c r="D55" s="51"/>
      <c r="E55" s="51"/>
      <c r="F55" s="51"/>
      <c r="G55" s="51">
        <v>2</v>
      </c>
      <c r="H55" s="51">
        <v>2</v>
      </c>
      <c r="I55" s="51">
        <v>2</v>
      </c>
      <c r="J55" s="51">
        <v>2</v>
      </c>
      <c r="K55" s="51">
        <v>2</v>
      </c>
      <c r="L55" s="40" t="s">
        <v>556</v>
      </c>
      <c r="M55" s="40" t="s">
        <v>556</v>
      </c>
      <c r="N55" s="40">
        <v>1</v>
      </c>
      <c r="O55" s="40" t="s">
        <v>556</v>
      </c>
      <c r="P55" s="40" t="s">
        <v>556</v>
      </c>
      <c r="Q55" s="30"/>
      <c r="R55" s="30"/>
      <c r="S55" s="30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</row>
    <row r="56" spans="1:48" s="18" customFormat="1" ht="16.5" customHeight="1">
      <c r="A56" s="50"/>
      <c r="B56" s="93" t="s">
        <v>37</v>
      </c>
      <c r="C56" s="16"/>
      <c r="D56" s="52"/>
      <c r="E56" s="52"/>
      <c r="F56" s="52"/>
      <c r="G56" s="52"/>
      <c r="H56" s="52"/>
      <c r="I56" s="52"/>
      <c r="J56" s="52"/>
      <c r="K56" s="52"/>
      <c r="L56" s="60">
        <f>L57</f>
        <v>1</v>
      </c>
      <c r="M56" s="60" t="str">
        <f>M57</f>
        <v> -</v>
      </c>
      <c r="N56" s="60"/>
      <c r="O56" s="60" t="str">
        <f>O57</f>
        <v> -</v>
      </c>
      <c r="P56" s="60" t="str">
        <f>P57</f>
        <v> -</v>
      </c>
      <c r="Q56" s="23"/>
      <c r="R56" s="23"/>
      <c r="S56" s="1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</row>
    <row r="57" spans="1:48" s="27" customFormat="1" ht="18.75" customHeight="1">
      <c r="A57" s="12"/>
      <c r="B57" s="97" t="s">
        <v>807</v>
      </c>
      <c r="C57" s="15" t="s">
        <v>810</v>
      </c>
      <c r="D57" s="51"/>
      <c r="E57" s="51"/>
      <c r="F57" s="51"/>
      <c r="G57" s="51">
        <v>1</v>
      </c>
      <c r="H57" s="51">
        <v>1</v>
      </c>
      <c r="I57" s="51">
        <v>1</v>
      </c>
      <c r="J57" s="51">
        <v>1</v>
      </c>
      <c r="K57" s="51">
        <v>1</v>
      </c>
      <c r="L57" s="40">
        <v>1</v>
      </c>
      <c r="M57" s="40" t="s">
        <v>556</v>
      </c>
      <c r="N57" s="40" t="s">
        <v>556</v>
      </c>
      <c r="O57" s="40" t="s">
        <v>556</v>
      </c>
      <c r="P57" s="40" t="s">
        <v>556</v>
      </c>
      <c r="Q57" s="30"/>
      <c r="R57" s="30"/>
      <c r="S57" s="30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</row>
    <row r="58" spans="1:19" ht="14.25" customHeight="1">
      <c r="A58" s="399" t="s">
        <v>662</v>
      </c>
      <c r="B58" s="399"/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20"/>
      <c r="R58" s="20"/>
      <c r="S58" s="7"/>
    </row>
    <row r="59" spans="1:19" ht="13.5" customHeight="1">
      <c r="A59" s="400" t="s">
        <v>909</v>
      </c>
      <c r="B59" s="400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21"/>
      <c r="R59" s="21"/>
      <c r="S59" s="8"/>
    </row>
    <row r="60" spans="1:188" s="57" customFormat="1" ht="17.25" customHeight="1">
      <c r="A60" s="13">
        <v>5</v>
      </c>
      <c r="B60" s="92" t="s">
        <v>253</v>
      </c>
      <c r="C60" s="45"/>
      <c r="D60" s="44">
        <v>27</v>
      </c>
      <c r="E60" s="44"/>
      <c r="F60" s="44"/>
      <c r="G60" s="44">
        <v>32</v>
      </c>
      <c r="H60" s="44">
        <v>32</v>
      </c>
      <c r="I60" s="44">
        <v>32</v>
      </c>
      <c r="J60" s="44">
        <v>32</v>
      </c>
      <c r="K60" s="44">
        <v>32</v>
      </c>
      <c r="L60" s="44">
        <f>L61</f>
        <v>5</v>
      </c>
      <c r="M60" s="44" t="str">
        <f aca="true" t="shared" si="0" ref="M60:P61">M61</f>
        <v> -</v>
      </c>
      <c r="N60" s="44" t="str">
        <f t="shared" si="0"/>
        <v> -</v>
      </c>
      <c r="O60" s="44" t="str">
        <f t="shared" si="0"/>
        <v> -</v>
      </c>
      <c r="P60" s="44" t="str">
        <f t="shared" si="0"/>
        <v> -</v>
      </c>
      <c r="Q60" s="54" t="s">
        <v>648</v>
      </c>
      <c r="R60" s="54">
        <v>5</v>
      </c>
      <c r="S60" s="55" t="s">
        <v>907</v>
      </c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</row>
    <row r="61" spans="1:48" s="18" customFormat="1" ht="15.75" customHeight="1">
      <c r="A61" s="50"/>
      <c r="B61" s="93" t="s">
        <v>669</v>
      </c>
      <c r="C61" s="16"/>
      <c r="D61" s="52"/>
      <c r="E61" s="52"/>
      <c r="F61" s="52"/>
      <c r="G61" s="52"/>
      <c r="H61" s="52"/>
      <c r="I61" s="52"/>
      <c r="J61" s="52"/>
      <c r="K61" s="52"/>
      <c r="L61" s="60">
        <f>L62</f>
        <v>5</v>
      </c>
      <c r="M61" s="60" t="str">
        <f t="shared" si="0"/>
        <v> -</v>
      </c>
      <c r="N61" s="60" t="str">
        <f t="shared" si="0"/>
        <v> -</v>
      </c>
      <c r="O61" s="60" t="str">
        <f t="shared" si="0"/>
        <v> -</v>
      </c>
      <c r="P61" s="60" t="str">
        <f t="shared" si="0"/>
        <v> -</v>
      </c>
      <c r="Q61" s="23"/>
      <c r="R61" s="23"/>
      <c r="S61" s="1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</row>
    <row r="62" spans="1:48" s="27" customFormat="1" ht="15.75" customHeight="1">
      <c r="A62" s="12"/>
      <c r="B62" s="97" t="s">
        <v>594</v>
      </c>
      <c r="C62" s="29" t="s">
        <v>783</v>
      </c>
      <c r="D62" s="51"/>
      <c r="E62" s="51"/>
      <c r="F62" s="51"/>
      <c r="G62" s="51">
        <v>10</v>
      </c>
      <c r="H62" s="51">
        <v>10</v>
      </c>
      <c r="I62" s="51">
        <v>10</v>
      </c>
      <c r="J62" s="51">
        <v>10</v>
      </c>
      <c r="K62" s="51">
        <v>10</v>
      </c>
      <c r="L62" s="40">
        <v>5</v>
      </c>
      <c r="M62" s="40" t="s">
        <v>556</v>
      </c>
      <c r="N62" s="40" t="s">
        <v>556</v>
      </c>
      <c r="O62" s="40" t="s">
        <v>556</v>
      </c>
      <c r="P62" s="40" t="s">
        <v>556</v>
      </c>
      <c r="Q62" s="30"/>
      <c r="R62" s="30"/>
      <c r="S62" s="30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</row>
    <row r="63" spans="1:188" s="57" customFormat="1" ht="18" customHeight="1">
      <c r="A63" s="13">
        <v>6</v>
      </c>
      <c r="B63" s="92" t="s">
        <v>166</v>
      </c>
      <c r="C63" s="45"/>
      <c r="D63" s="44">
        <v>35</v>
      </c>
      <c r="E63" s="44">
        <v>2</v>
      </c>
      <c r="F63" s="44"/>
      <c r="G63" s="44">
        <v>43</v>
      </c>
      <c r="H63" s="44">
        <v>43</v>
      </c>
      <c r="I63" s="44">
        <v>43</v>
      </c>
      <c r="J63" s="44">
        <v>43</v>
      </c>
      <c r="K63" s="44">
        <v>43</v>
      </c>
      <c r="L63" s="44">
        <v>8</v>
      </c>
      <c r="M63" s="44" t="str">
        <f>M68</f>
        <v> -</v>
      </c>
      <c r="N63" s="44" t="s">
        <v>556</v>
      </c>
      <c r="O63" s="44">
        <v>2</v>
      </c>
      <c r="P63" s="44" t="s">
        <v>556</v>
      </c>
      <c r="Q63" s="54" t="s">
        <v>649</v>
      </c>
      <c r="R63" s="54">
        <v>9</v>
      </c>
      <c r="S63" s="55" t="s">
        <v>918</v>
      </c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</row>
    <row r="64" spans="1:48" s="18" customFormat="1" ht="17.25" customHeight="1">
      <c r="A64" s="50"/>
      <c r="B64" s="93" t="s">
        <v>669</v>
      </c>
      <c r="C64" s="16"/>
      <c r="D64" s="52"/>
      <c r="E64" s="52"/>
      <c r="F64" s="52"/>
      <c r="G64" s="52"/>
      <c r="H64" s="52"/>
      <c r="I64" s="52"/>
      <c r="J64" s="52"/>
      <c r="K64" s="52"/>
      <c r="L64" s="60">
        <v>5</v>
      </c>
      <c r="M64" s="60" t="s">
        <v>556</v>
      </c>
      <c r="N64" s="60" t="s">
        <v>556</v>
      </c>
      <c r="O64" s="60">
        <v>1</v>
      </c>
      <c r="P64" s="60" t="s">
        <v>556</v>
      </c>
      <c r="Q64" s="23"/>
      <c r="R64" s="23"/>
      <c r="S64" s="1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</row>
    <row r="65" spans="1:48" s="27" customFormat="1" ht="15.75" customHeight="1">
      <c r="A65" s="12"/>
      <c r="B65" s="97" t="s">
        <v>1316</v>
      </c>
      <c r="C65" s="29" t="s">
        <v>1317</v>
      </c>
      <c r="D65" s="51"/>
      <c r="E65" s="51"/>
      <c r="F65" s="51">
        <v>23</v>
      </c>
      <c r="G65" s="51">
        <v>2</v>
      </c>
      <c r="H65" s="51">
        <v>2</v>
      </c>
      <c r="I65" s="51">
        <v>2</v>
      </c>
      <c r="J65" s="51">
        <v>2</v>
      </c>
      <c r="K65" s="51">
        <v>2</v>
      </c>
      <c r="L65" s="40">
        <v>1</v>
      </c>
      <c r="M65" s="40" t="s">
        <v>556</v>
      </c>
      <c r="N65" s="40" t="s">
        <v>556</v>
      </c>
      <c r="O65" s="40" t="s">
        <v>556</v>
      </c>
      <c r="P65" s="40" t="s">
        <v>556</v>
      </c>
      <c r="Q65" s="30"/>
      <c r="R65" s="30"/>
      <c r="S65" s="30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</row>
    <row r="66" spans="1:48" s="27" customFormat="1" ht="15.75" customHeight="1">
      <c r="A66" s="12"/>
      <c r="B66" s="97" t="s">
        <v>594</v>
      </c>
      <c r="C66" s="29" t="s">
        <v>783</v>
      </c>
      <c r="D66" s="51"/>
      <c r="E66" s="51"/>
      <c r="F66" s="51">
        <v>23</v>
      </c>
      <c r="G66" s="51">
        <v>7</v>
      </c>
      <c r="H66" s="51">
        <v>7</v>
      </c>
      <c r="I66" s="51">
        <v>7</v>
      </c>
      <c r="J66" s="51">
        <v>7</v>
      </c>
      <c r="K66" s="51">
        <v>7</v>
      </c>
      <c r="L66" s="40">
        <v>2</v>
      </c>
      <c r="M66" s="40" t="s">
        <v>556</v>
      </c>
      <c r="N66" s="40" t="s">
        <v>556</v>
      </c>
      <c r="O66" s="40" t="s">
        <v>556</v>
      </c>
      <c r="P66" s="40" t="s">
        <v>556</v>
      </c>
      <c r="Q66" s="30"/>
      <c r="R66" s="30"/>
      <c r="S66" s="30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</row>
    <row r="67" spans="1:48" s="27" customFormat="1" ht="15.75" customHeight="1">
      <c r="A67" s="12"/>
      <c r="B67" s="97" t="s">
        <v>560</v>
      </c>
      <c r="C67" s="29" t="s">
        <v>741</v>
      </c>
      <c r="D67" s="51"/>
      <c r="E67" s="51"/>
      <c r="F67" s="51">
        <v>25</v>
      </c>
      <c r="G67" s="51">
        <v>4</v>
      </c>
      <c r="H67" s="51">
        <v>4</v>
      </c>
      <c r="I67" s="51">
        <v>4</v>
      </c>
      <c r="J67" s="51">
        <v>4</v>
      </c>
      <c r="K67" s="51">
        <v>4</v>
      </c>
      <c r="L67" s="40">
        <v>2</v>
      </c>
      <c r="M67" s="40" t="s">
        <v>556</v>
      </c>
      <c r="N67" s="40" t="s">
        <v>556</v>
      </c>
      <c r="O67" s="40">
        <v>1</v>
      </c>
      <c r="P67" s="40" t="s">
        <v>556</v>
      </c>
      <c r="Q67" s="30"/>
      <c r="R67" s="30"/>
      <c r="S67" s="30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</row>
    <row r="68" spans="1:48" s="18" customFormat="1" ht="17.25" customHeight="1">
      <c r="A68" s="50"/>
      <c r="B68" s="93" t="s">
        <v>37</v>
      </c>
      <c r="C68" s="16"/>
      <c r="D68" s="52"/>
      <c r="E68" s="52"/>
      <c r="F68" s="52"/>
      <c r="G68" s="52"/>
      <c r="H68" s="52"/>
      <c r="I68" s="52"/>
      <c r="J68" s="52"/>
      <c r="K68" s="52"/>
      <c r="L68" s="60">
        <v>3</v>
      </c>
      <c r="M68" s="60" t="s">
        <v>556</v>
      </c>
      <c r="N68" s="60" t="s">
        <v>556</v>
      </c>
      <c r="O68" s="60">
        <v>1</v>
      </c>
      <c r="P68" s="60" t="s">
        <v>556</v>
      </c>
      <c r="Q68" s="23"/>
      <c r="R68" s="23"/>
      <c r="S68" s="1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</row>
    <row r="69" spans="1:48" s="27" customFormat="1" ht="19.5" customHeight="1">
      <c r="A69" s="12"/>
      <c r="B69" s="97" t="s">
        <v>867</v>
      </c>
      <c r="C69" s="29" t="s">
        <v>868</v>
      </c>
      <c r="D69" s="51"/>
      <c r="E69" s="51"/>
      <c r="F69" s="51"/>
      <c r="G69" s="51">
        <v>2</v>
      </c>
      <c r="H69" s="51">
        <v>2</v>
      </c>
      <c r="I69" s="51">
        <v>2</v>
      </c>
      <c r="J69" s="51">
        <v>2</v>
      </c>
      <c r="K69" s="51">
        <v>2</v>
      </c>
      <c r="L69" s="40">
        <v>1</v>
      </c>
      <c r="M69" s="40" t="s">
        <v>556</v>
      </c>
      <c r="N69" s="40" t="s">
        <v>556</v>
      </c>
      <c r="O69" s="40" t="s">
        <v>556</v>
      </c>
      <c r="P69" s="40" t="s">
        <v>556</v>
      </c>
      <c r="Q69" s="33"/>
      <c r="R69" s="33"/>
      <c r="S69" s="33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</row>
    <row r="70" spans="1:48" s="27" customFormat="1" ht="17.25" customHeight="1">
      <c r="A70" s="12"/>
      <c r="B70" s="97" t="s">
        <v>869</v>
      </c>
      <c r="C70" s="29" t="s">
        <v>870</v>
      </c>
      <c r="D70" s="51"/>
      <c r="E70" s="51"/>
      <c r="F70" s="51"/>
      <c r="G70" s="51">
        <v>2</v>
      </c>
      <c r="H70" s="51">
        <v>2</v>
      </c>
      <c r="I70" s="51">
        <v>2</v>
      </c>
      <c r="J70" s="51">
        <v>2</v>
      </c>
      <c r="K70" s="51">
        <v>2</v>
      </c>
      <c r="L70" s="40">
        <v>1</v>
      </c>
      <c r="M70" s="40" t="s">
        <v>556</v>
      </c>
      <c r="N70" s="40" t="s">
        <v>556</v>
      </c>
      <c r="O70" s="40" t="s">
        <v>556</v>
      </c>
      <c r="P70" s="40" t="s">
        <v>556</v>
      </c>
      <c r="Q70" s="30"/>
      <c r="R70" s="30"/>
      <c r="S70" s="30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</row>
    <row r="71" spans="1:48" s="27" customFormat="1" ht="21" customHeight="1">
      <c r="A71" s="12"/>
      <c r="B71" s="97" t="s">
        <v>807</v>
      </c>
      <c r="C71" s="29" t="s">
        <v>810</v>
      </c>
      <c r="D71" s="51"/>
      <c r="E71" s="51"/>
      <c r="F71" s="51"/>
      <c r="G71" s="51">
        <v>2</v>
      </c>
      <c r="H71" s="51">
        <v>2</v>
      </c>
      <c r="I71" s="51">
        <v>2</v>
      </c>
      <c r="J71" s="51">
        <v>2</v>
      </c>
      <c r="K71" s="51">
        <v>2</v>
      </c>
      <c r="L71" s="40">
        <v>1</v>
      </c>
      <c r="M71" s="40" t="s">
        <v>556</v>
      </c>
      <c r="N71" s="40" t="s">
        <v>556</v>
      </c>
      <c r="O71" s="40" t="s">
        <v>556</v>
      </c>
      <c r="P71" s="40" t="s">
        <v>556</v>
      </c>
      <c r="Q71" s="33"/>
      <c r="R71" s="33"/>
      <c r="S71" s="33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</row>
    <row r="72" spans="1:48" s="27" customFormat="1" ht="18.75" customHeight="1">
      <c r="A72" s="12"/>
      <c r="B72" s="106" t="s">
        <v>262</v>
      </c>
      <c r="C72" s="66" t="s">
        <v>1358</v>
      </c>
      <c r="D72" s="51"/>
      <c r="E72" s="51"/>
      <c r="F72" s="51"/>
      <c r="G72" s="51">
        <v>1</v>
      </c>
      <c r="H72" s="51">
        <v>1</v>
      </c>
      <c r="I72" s="51">
        <v>1</v>
      </c>
      <c r="J72" s="51">
        <v>1</v>
      </c>
      <c r="K72" s="51">
        <v>1</v>
      </c>
      <c r="L72" s="40" t="s">
        <v>556</v>
      </c>
      <c r="M72" s="40" t="s">
        <v>556</v>
      </c>
      <c r="N72" s="40" t="s">
        <v>556</v>
      </c>
      <c r="O72" s="40">
        <v>1</v>
      </c>
      <c r="P72" s="40" t="s">
        <v>556</v>
      </c>
      <c r="Q72" s="33"/>
      <c r="R72" s="33"/>
      <c r="S72" s="33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</row>
    <row r="73" spans="1:188" s="57" customFormat="1" ht="18" customHeight="1">
      <c r="A73" s="13">
        <v>7</v>
      </c>
      <c r="B73" s="92" t="s">
        <v>156</v>
      </c>
      <c r="C73" s="45"/>
      <c r="D73" s="44">
        <v>186</v>
      </c>
      <c r="E73" s="44">
        <v>50</v>
      </c>
      <c r="F73" s="44">
        <v>84</v>
      </c>
      <c r="G73" s="44">
        <v>186</v>
      </c>
      <c r="H73" s="44">
        <v>186</v>
      </c>
      <c r="I73" s="44">
        <v>186</v>
      </c>
      <c r="J73" s="44">
        <v>186</v>
      </c>
      <c r="K73" s="44">
        <v>186</v>
      </c>
      <c r="L73" s="44">
        <f>SUM(L74,L83,L86)</f>
        <v>8</v>
      </c>
      <c r="M73" s="44">
        <f>SUM(M74,M83,M86)</f>
        <v>8</v>
      </c>
      <c r="N73" s="44">
        <f>SUM(N74,N83,N86)</f>
        <v>8</v>
      </c>
      <c r="O73" s="44">
        <f>SUM(O74,O83,O86)</f>
        <v>6</v>
      </c>
      <c r="P73" s="44">
        <f>SUM(P74,P83,P86)</f>
        <v>6</v>
      </c>
      <c r="Q73" s="54" t="s">
        <v>648</v>
      </c>
      <c r="R73" s="54">
        <v>5</v>
      </c>
      <c r="S73" s="55" t="s">
        <v>908</v>
      </c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</row>
    <row r="74" spans="1:48" s="18" customFormat="1" ht="16.5" customHeight="1">
      <c r="A74" s="50"/>
      <c r="B74" s="93" t="s">
        <v>669</v>
      </c>
      <c r="C74" s="16"/>
      <c r="D74" s="52"/>
      <c r="E74" s="52"/>
      <c r="F74" s="52"/>
      <c r="G74" s="52"/>
      <c r="H74" s="52"/>
      <c r="I74" s="52"/>
      <c r="J74" s="52"/>
      <c r="K74" s="52"/>
      <c r="L74" s="60">
        <f>SUM(L75:L82)</f>
        <v>7</v>
      </c>
      <c r="M74" s="60">
        <f>SUM(M75:M82)</f>
        <v>7</v>
      </c>
      <c r="N74" s="60">
        <f>SUM(N75:N82)</f>
        <v>5</v>
      </c>
      <c r="O74" s="60">
        <f>SUM(O75:O82)</f>
        <v>4</v>
      </c>
      <c r="P74" s="60">
        <f>SUM(P75:P82)</f>
        <v>5</v>
      </c>
      <c r="Q74" s="23"/>
      <c r="R74" s="23"/>
      <c r="S74" s="1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</row>
    <row r="75" spans="1:48" s="27" customFormat="1" ht="15.75" customHeight="1">
      <c r="A75" s="12"/>
      <c r="B75" s="97" t="s">
        <v>594</v>
      </c>
      <c r="C75" s="29" t="s">
        <v>783</v>
      </c>
      <c r="D75" s="51"/>
      <c r="E75" s="51"/>
      <c r="F75" s="51">
        <v>23</v>
      </c>
      <c r="G75" s="51">
        <v>13</v>
      </c>
      <c r="H75" s="51">
        <v>13</v>
      </c>
      <c r="I75" s="51">
        <v>13</v>
      </c>
      <c r="J75" s="51">
        <v>13</v>
      </c>
      <c r="K75" s="51">
        <v>13</v>
      </c>
      <c r="L75" s="40" t="s">
        <v>556</v>
      </c>
      <c r="M75" s="40" t="s">
        <v>556</v>
      </c>
      <c r="N75" s="40">
        <v>1</v>
      </c>
      <c r="O75" s="40" t="s">
        <v>556</v>
      </c>
      <c r="P75" s="40">
        <v>1</v>
      </c>
      <c r="Q75" s="30"/>
      <c r="R75" s="30"/>
      <c r="S75" s="30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</row>
    <row r="76" spans="1:48" s="27" customFormat="1" ht="15.75" customHeight="1">
      <c r="A76" s="12"/>
      <c r="B76" s="97" t="s">
        <v>560</v>
      </c>
      <c r="C76" s="29" t="s">
        <v>741</v>
      </c>
      <c r="D76" s="51"/>
      <c r="E76" s="51"/>
      <c r="F76" s="51">
        <v>25</v>
      </c>
      <c r="G76" s="51">
        <v>22</v>
      </c>
      <c r="H76" s="51">
        <v>22</v>
      </c>
      <c r="I76" s="51">
        <v>22</v>
      </c>
      <c r="J76" s="51">
        <v>22</v>
      </c>
      <c r="K76" s="51">
        <v>22</v>
      </c>
      <c r="L76" s="40">
        <v>3</v>
      </c>
      <c r="M76" s="40">
        <v>1</v>
      </c>
      <c r="N76" s="40">
        <v>1</v>
      </c>
      <c r="O76" s="40">
        <v>1</v>
      </c>
      <c r="P76" s="40">
        <v>1</v>
      </c>
      <c r="Q76" s="30"/>
      <c r="R76" s="30"/>
      <c r="S76" s="30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</row>
    <row r="77" spans="1:48" s="27" customFormat="1" ht="15.75" customHeight="1">
      <c r="A77" s="12"/>
      <c r="B77" s="97" t="s">
        <v>453</v>
      </c>
      <c r="C77" s="29" t="s">
        <v>454</v>
      </c>
      <c r="D77" s="51"/>
      <c r="E77" s="51"/>
      <c r="F77" s="51"/>
      <c r="G77" s="51">
        <v>2</v>
      </c>
      <c r="H77" s="51">
        <v>2</v>
      </c>
      <c r="I77" s="51">
        <v>2</v>
      </c>
      <c r="J77" s="51">
        <v>2</v>
      </c>
      <c r="K77" s="51">
        <v>2</v>
      </c>
      <c r="L77" s="40" t="s">
        <v>556</v>
      </c>
      <c r="M77" s="40">
        <v>1</v>
      </c>
      <c r="N77" s="40" t="s">
        <v>556</v>
      </c>
      <c r="O77" s="40" t="s">
        <v>556</v>
      </c>
      <c r="P77" s="40">
        <v>1</v>
      </c>
      <c r="Q77" s="30"/>
      <c r="R77" s="30"/>
      <c r="S77" s="30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</row>
    <row r="78" spans="1:48" s="27" customFormat="1" ht="15.75" customHeight="1">
      <c r="A78" s="12"/>
      <c r="B78" s="97" t="s">
        <v>1047</v>
      </c>
      <c r="C78" s="29" t="s">
        <v>1048</v>
      </c>
      <c r="D78" s="51"/>
      <c r="E78" s="51"/>
      <c r="F78" s="51"/>
      <c r="G78" s="51">
        <v>22</v>
      </c>
      <c r="H78" s="51">
        <v>22</v>
      </c>
      <c r="I78" s="51">
        <v>22</v>
      </c>
      <c r="J78" s="51">
        <v>22</v>
      </c>
      <c r="K78" s="51">
        <v>23</v>
      </c>
      <c r="L78" s="40">
        <v>1</v>
      </c>
      <c r="M78" s="40">
        <v>2</v>
      </c>
      <c r="N78" s="40">
        <v>1</v>
      </c>
      <c r="O78" s="40" t="s">
        <v>556</v>
      </c>
      <c r="P78" s="40">
        <v>1</v>
      </c>
      <c r="Q78" s="30"/>
      <c r="R78" s="30"/>
      <c r="S78" s="30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</row>
    <row r="79" spans="1:48" s="27" customFormat="1" ht="15.75" customHeight="1">
      <c r="A79" s="12"/>
      <c r="B79" s="97" t="s">
        <v>635</v>
      </c>
      <c r="C79" s="29" t="s">
        <v>636</v>
      </c>
      <c r="D79" s="51"/>
      <c r="E79" s="51"/>
      <c r="F79" s="51"/>
      <c r="G79" s="51">
        <v>2</v>
      </c>
      <c r="H79" s="51">
        <v>2</v>
      </c>
      <c r="I79" s="51">
        <v>2</v>
      </c>
      <c r="J79" s="51">
        <v>2</v>
      </c>
      <c r="K79" s="51">
        <v>2</v>
      </c>
      <c r="L79" s="40">
        <v>1</v>
      </c>
      <c r="M79" s="40">
        <v>1</v>
      </c>
      <c r="N79" s="40" t="s">
        <v>556</v>
      </c>
      <c r="O79" s="40" t="s">
        <v>556</v>
      </c>
      <c r="P79" s="40" t="s">
        <v>556</v>
      </c>
      <c r="Q79" s="30"/>
      <c r="R79" s="30"/>
      <c r="S79" s="30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</row>
    <row r="80" spans="1:48" s="27" customFormat="1" ht="15.75" customHeight="1">
      <c r="A80" s="12"/>
      <c r="B80" s="97" t="s">
        <v>1049</v>
      </c>
      <c r="C80" s="29" t="s">
        <v>1050</v>
      </c>
      <c r="D80" s="51"/>
      <c r="E80" s="51"/>
      <c r="F80" s="51"/>
      <c r="G80" s="51">
        <v>32</v>
      </c>
      <c r="H80" s="51">
        <v>32</v>
      </c>
      <c r="I80" s="51">
        <v>32</v>
      </c>
      <c r="J80" s="51">
        <v>32</v>
      </c>
      <c r="K80" s="51">
        <v>32</v>
      </c>
      <c r="L80" s="40">
        <v>2</v>
      </c>
      <c r="M80" s="40">
        <v>1</v>
      </c>
      <c r="N80" s="40">
        <v>1</v>
      </c>
      <c r="O80" s="40">
        <v>2</v>
      </c>
      <c r="P80" s="40">
        <v>1</v>
      </c>
      <c r="Q80" s="30"/>
      <c r="R80" s="30"/>
      <c r="S80" s="30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</row>
    <row r="81" spans="1:48" s="27" customFormat="1" ht="31.5" customHeight="1">
      <c r="A81" s="12"/>
      <c r="B81" s="97" t="s">
        <v>526</v>
      </c>
      <c r="C81" s="29" t="s">
        <v>525</v>
      </c>
      <c r="D81" s="51"/>
      <c r="E81" s="51"/>
      <c r="F81" s="51"/>
      <c r="G81" s="51">
        <v>2</v>
      </c>
      <c r="H81" s="51">
        <v>2</v>
      </c>
      <c r="I81" s="51">
        <v>2</v>
      </c>
      <c r="J81" s="51">
        <v>2</v>
      </c>
      <c r="K81" s="51">
        <v>2</v>
      </c>
      <c r="L81" s="40" t="s">
        <v>556</v>
      </c>
      <c r="M81" s="40" t="s">
        <v>556</v>
      </c>
      <c r="N81" s="40" t="s">
        <v>556</v>
      </c>
      <c r="O81" s="40">
        <v>1</v>
      </c>
      <c r="P81" s="40" t="s">
        <v>556</v>
      </c>
      <c r="Q81" s="30"/>
      <c r="R81" s="30"/>
      <c r="S81" s="30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</row>
    <row r="82" spans="1:48" s="27" customFormat="1" ht="17.25" customHeight="1">
      <c r="A82" s="12"/>
      <c r="B82" s="97" t="s">
        <v>629</v>
      </c>
      <c r="C82" s="15" t="s">
        <v>787</v>
      </c>
      <c r="D82" s="51"/>
      <c r="E82" s="51"/>
      <c r="F82" s="51"/>
      <c r="G82" s="51">
        <v>2</v>
      </c>
      <c r="H82" s="51">
        <v>2</v>
      </c>
      <c r="I82" s="51">
        <v>2</v>
      </c>
      <c r="J82" s="51">
        <v>2</v>
      </c>
      <c r="K82" s="51">
        <v>2</v>
      </c>
      <c r="L82" s="40" t="s">
        <v>556</v>
      </c>
      <c r="M82" s="40">
        <v>1</v>
      </c>
      <c r="N82" s="40">
        <v>1</v>
      </c>
      <c r="O82" s="40" t="s">
        <v>556</v>
      </c>
      <c r="P82" s="40" t="s">
        <v>556</v>
      </c>
      <c r="Q82" s="30"/>
      <c r="R82" s="30"/>
      <c r="S82" s="30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</row>
    <row r="83" spans="1:48" s="18" customFormat="1" ht="16.5" customHeight="1">
      <c r="A83" s="50"/>
      <c r="B83" s="93" t="s">
        <v>670</v>
      </c>
      <c r="C83" s="16"/>
      <c r="D83" s="52"/>
      <c r="E83" s="51"/>
      <c r="F83" s="52"/>
      <c r="G83" s="52"/>
      <c r="H83" s="52"/>
      <c r="I83" s="52"/>
      <c r="J83" s="52"/>
      <c r="K83" s="52"/>
      <c r="L83" s="60" t="str">
        <f>L84</f>
        <v> -</v>
      </c>
      <c r="M83" s="60" t="str">
        <f>M84</f>
        <v> -</v>
      </c>
      <c r="N83" s="60">
        <v>2</v>
      </c>
      <c r="O83" s="60">
        <f>O84</f>
        <v>1</v>
      </c>
      <c r="P83" s="60">
        <f>P84</f>
        <v>1</v>
      </c>
      <c r="Q83" s="23"/>
      <c r="R83" s="23"/>
      <c r="S83" s="1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</row>
    <row r="84" spans="1:48" s="27" customFormat="1" ht="18.75" customHeight="1">
      <c r="A84" s="12"/>
      <c r="B84" s="97" t="s">
        <v>646</v>
      </c>
      <c r="C84" s="15" t="s">
        <v>597</v>
      </c>
      <c r="D84" s="51"/>
      <c r="E84" s="51"/>
      <c r="F84" s="51">
        <v>3</v>
      </c>
      <c r="G84" s="51">
        <v>3</v>
      </c>
      <c r="H84" s="51">
        <v>3</v>
      </c>
      <c r="I84" s="51">
        <v>3</v>
      </c>
      <c r="J84" s="51">
        <v>3</v>
      </c>
      <c r="K84" s="51">
        <v>3</v>
      </c>
      <c r="L84" s="40" t="s">
        <v>556</v>
      </c>
      <c r="M84" s="40" t="s">
        <v>556</v>
      </c>
      <c r="N84" s="40">
        <v>1</v>
      </c>
      <c r="O84" s="40">
        <v>1</v>
      </c>
      <c r="P84" s="40">
        <v>1</v>
      </c>
      <c r="Q84" s="33"/>
      <c r="R84" s="33"/>
      <c r="S84" s="33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</row>
    <row r="85" spans="1:48" s="27" customFormat="1" ht="18.75" customHeight="1">
      <c r="A85" s="12"/>
      <c r="B85" s="97" t="s">
        <v>65</v>
      </c>
      <c r="C85" s="15" t="s">
        <v>66</v>
      </c>
      <c r="D85" s="51"/>
      <c r="E85" s="51"/>
      <c r="F85" s="51"/>
      <c r="G85" s="51">
        <v>1</v>
      </c>
      <c r="H85" s="51">
        <v>1</v>
      </c>
      <c r="I85" s="51">
        <v>1</v>
      </c>
      <c r="J85" s="51">
        <v>1</v>
      </c>
      <c r="K85" s="51">
        <v>1</v>
      </c>
      <c r="L85" s="40" t="s">
        <v>556</v>
      </c>
      <c r="M85" s="40" t="s">
        <v>556</v>
      </c>
      <c r="N85" s="40">
        <v>1</v>
      </c>
      <c r="O85" s="40" t="s">
        <v>556</v>
      </c>
      <c r="P85" s="40" t="s">
        <v>556</v>
      </c>
      <c r="Q85" s="33"/>
      <c r="R85" s="33"/>
      <c r="S85" s="33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</row>
    <row r="86" spans="1:48" s="18" customFormat="1" ht="18" customHeight="1">
      <c r="A86" s="50"/>
      <c r="B86" s="93" t="s">
        <v>37</v>
      </c>
      <c r="C86" s="16"/>
      <c r="D86" s="52"/>
      <c r="E86" s="51"/>
      <c r="F86" s="52"/>
      <c r="G86" s="52"/>
      <c r="H86" s="52"/>
      <c r="I86" s="52"/>
      <c r="J86" s="52"/>
      <c r="K86" s="52"/>
      <c r="L86" s="60">
        <v>1</v>
      </c>
      <c r="M86" s="60">
        <v>1</v>
      </c>
      <c r="N86" s="60">
        <v>1</v>
      </c>
      <c r="O86" s="60">
        <v>1</v>
      </c>
      <c r="P86" s="60" t="s">
        <v>556</v>
      </c>
      <c r="Q86" s="23"/>
      <c r="R86" s="23"/>
      <c r="S86" s="1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</row>
    <row r="87" spans="1:48" s="27" customFormat="1" ht="17.25" customHeight="1">
      <c r="A87" s="12"/>
      <c r="B87" s="97" t="s">
        <v>869</v>
      </c>
      <c r="C87" s="15" t="s">
        <v>870</v>
      </c>
      <c r="D87" s="51"/>
      <c r="E87" s="51"/>
      <c r="F87" s="51"/>
      <c r="G87" s="51">
        <v>4</v>
      </c>
      <c r="H87" s="51">
        <v>4</v>
      </c>
      <c r="I87" s="51">
        <v>4</v>
      </c>
      <c r="J87" s="51">
        <v>4</v>
      </c>
      <c r="K87" s="51">
        <v>4</v>
      </c>
      <c r="L87" s="40">
        <v>1</v>
      </c>
      <c r="M87" s="40" t="s">
        <v>556</v>
      </c>
      <c r="N87" s="40">
        <v>1</v>
      </c>
      <c r="O87" s="40">
        <v>1</v>
      </c>
      <c r="P87" s="40" t="s">
        <v>556</v>
      </c>
      <c r="Q87" s="33"/>
      <c r="R87" s="33"/>
      <c r="S87" s="33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</row>
    <row r="88" spans="1:48" s="27" customFormat="1" ht="17.25" customHeight="1">
      <c r="A88" s="12"/>
      <c r="B88" s="97" t="s">
        <v>38</v>
      </c>
      <c r="C88" s="66" t="s">
        <v>457</v>
      </c>
      <c r="D88" s="51"/>
      <c r="E88" s="51"/>
      <c r="F88" s="51"/>
      <c r="G88" s="51">
        <v>4</v>
      </c>
      <c r="H88" s="51">
        <v>4</v>
      </c>
      <c r="I88" s="51">
        <v>4</v>
      </c>
      <c r="J88" s="51">
        <v>4</v>
      </c>
      <c r="K88" s="51">
        <v>4</v>
      </c>
      <c r="L88" s="40" t="s">
        <v>556</v>
      </c>
      <c r="M88" s="40">
        <v>1</v>
      </c>
      <c r="N88" s="40" t="s">
        <v>556</v>
      </c>
      <c r="O88" s="40" t="s">
        <v>556</v>
      </c>
      <c r="P88" s="40" t="s">
        <v>556</v>
      </c>
      <c r="Q88" s="33"/>
      <c r="R88" s="33"/>
      <c r="S88" s="33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</row>
    <row r="89" spans="1:19" ht="14.25" customHeight="1">
      <c r="A89" s="399" t="s">
        <v>661</v>
      </c>
      <c r="B89" s="399"/>
      <c r="C89" s="399"/>
      <c r="D89" s="399"/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Q89" s="20"/>
      <c r="R89" s="20"/>
      <c r="S89" s="7"/>
    </row>
    <row r="90" spans="1:19" ht="13.5" customHeight="1">
      <c r="A90" s="400" t="s">
        <v>676</v>
      </c>
      <c r="B90" s="400"/>
      <c r="C90" s="400"/>
      <c r="D90" s="400"/>
      <c r="E90" s="400"/>
      <c r="F90" s="400"/>
      <c r="G90" s="400"/>
      <c r="H90" s="400"/>
      <c r="I90" s="400"/>
      <c r="J90" s="400"/>
      <c r="K90" s="400"/>
      <c r="L90" s="400"/>
      <c r="M90" s="400"/>
      <c r="N90" s="400"/>
      <c r="O90" s="400"/>
      <c r="P90" s="400"/>
      <c r="Q90" s="21"/>
      <c r="R90" s="21"/>
      <c r="S90" s="8"/>
    </row>
    <row r="91" spans="1:188" s="57" customFormat="1" ht="18" customHeight="1">
      <c r="A91" s="13">
        <v>8</v>
      </c>
      <c r="B91" s="92" t="s">
        <v>259</v>
      </c>
      <c r="C91" s="45"/>
      <c r="D91" s="44">
        <v>981</v>
      </c>
      <c r="E91" s="44">
        <v>44</v>
      </c>
      <c r="F91" s="44">
        <v>880</v>
      </c>
      <c r="G91" s="44">
        <v>981</v>
      </c>
      <c r="H91" s="44">
        <v>981</v>
      </c>
      <c r="I91" s="44">
        <v>981</v>
      </c>
      <c r="J91" s="44">
        <v>981</v>
      </c>
      <c r="K91" s="44">
        <v>981</v>
      </c>
      <c r="L91" s="44">
        <f>SUM(L92,L94)</f>
        <v>8</v>
      </c>
      <c r="M91" s="44">
        <f>SUM(M92,M94)</f>
        <v>5</v>
      </c>
      <c r="N91" s="44"/>
      <c r="O91" s="44">
        <f>SUM(O92,O94)</f>
        <v>10</v>
      </c>
      <c r="P91" s="44" t="s">
        <v>556</v>
      </c>
      <c r="Q91" s="54" t="s">
        <v>648</v>
      </c>
      <c r="R91" s="54">
        <v>6</v>
      </c>
      <c r="S91" s="58" t="s">
        <v>677</v>
      </c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</row>
    <row r="92" spans="1:48" s="18" customFormat="1" ht="18" customHeight="1">
      <c r="A92" s="50"/>
      <c r="B92" s="93" t="s">
        <v>669</v>
      </c>
      <c r="C92" s="16"/>
      <c r="D92" s="52"/>
      <c r="E92" s="52"/>
      <c r="F92" s="52"/>
      <c r="G92" s="52"/>
      <c r="H92" s="52"/>
      <c r="I92" s="52"/>
      <c r="J92" s="52"/>
      <c r="K92" s="52"/>
      <c r="L92" s="60">
        <f>SUM(L93:L93)</f>
        <v>7</v>
      </c>
      <c r="M92" s="60">
        <f>SUM(M93:M93)</f>
        <v>5</v>
      </c>
      <c r="N92" s="60">
        <f>SUM(N93:N93)</f>
        <v>9</v>
      </c>
      <c r="O92" s="60">
        <f>SUM(O93:O93)</f>
        <v>9</v>
      </c>
      <c r="P92" s="60">
        <f>SUM(P93:P93)</f>
        <v>10</v>
      </c>
      <c r="Q92" s="23"/>
      <c r="R92" s="23"/>
      <c r="S92" s="1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</row>
    <row r="93" spans="1:48" s="27" customFormat="1" ht="15.75" customHeight="1">
      <c r="A93" s="12"/>
      <c r="B93" s="97" t="s">
        <v>1047</v>
      </c>
      <c r="C93" s="29" t="s">
        <v>1048</v>
      </c>
      <c r="D93" s="51"/>
      <c r="E93" s="51"/>
      <c r="F93" s="51">
        <v>404</v>
      </c>
      <c r="G93" s="51">
        <v>465</v>
      </c>
      <c r="H93" s="51">
        <v>465</v>
      </c>
      <c r="I93" s="51">
        <v>465</v>
      </c>
      <c r="J93" s="51">
        <v>465</v>
      </c>
      <c r="K93" s="51">
        <v>465</v>
      </c>
      <c r="L93" s="40">
        <v>7</v>
      </c>
      <c r="M93" s="40">
        <v>5</v>
      </c>
      <c r="N93" s="40">
        <v>9</v>
      </c>
      <c r="O93" s="40">
        <v>9</v>
      </c>
      <c r="P93" s="40">
        <v>10</v>
      </c>
      <c r="Q93" s="33"/>
      <c r="R93" s="28"/>
      <c r="S93" s="2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</row>
    <row r="94" spans="1:48" s="18" customFormat="1" ht="18.75" customHeight="1">
      <c r="A94" s="50"/>
      <c r="B94" s="93" t="s">
        <v>670</v>
      </c>
      <c r="C94" s="16"/>
      <c r="D94" s="52"/>
      <c r="E94" s="51"/>
      <c r="F94" s="52"/>
      <c r="G94" s="52"/>
      <c r="H94" s="52"/>
      <c r="I94" s="52"/>
      <c r="J94" s="52"/>
      <c r="K94" s="52"/>
      <c r="L94" s="60">
        <f>L95</f>
        <v>1</v>
      </c>
      <c r="M94" s="60" t="str">
        <f>M95</f>
        <v> -</v>
      </c>
      <c r="N94" s="60"/>
      <c r="O94" s="60">
        <f>O95</f>
        <v>1</v>
      </c>
      <c r="P94" s="60">
        <f>P95</f>
        <v>1</v>
      </c>
      <c r="Q94" s="23"/>
      <c r="R94" s="23"/>
      <c r="S94" s="1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</row>
    <row r="95" spans="1:48" s="27" customFormat="1" ht="18.75" customHeight="1">
      <c r="A95" s="12"/>
      <c r="B95" s="97" t="s">
        <v>1054</v>
      </c>
      <c r="C95" s="29" t="s">
        <v>1055</v>
      </c>
      <c r="D95" s="51"/>
      <c r="E95" s="51"/>
      <c r="F95" s="51">
        <v>22</v>
      </c>
      <c r="G95" s="51">
        <v>22</v>
      </c>
      <c r="H95" s="51">
        <v>22</v>
      </c>
      <c r="I95" s="51">
        <v>22</v>
      </c>
      <c r="J95" s="51">
        <v>22</v>
      </c>
      <c r="K95" s="51">
        <v>22</v>
      </c>
      <c r="L95" s="40">
        <v>1</v>
      </c>
      <c r="M95" s="40" t="s">
        <v>556</v>
      </c>
      <c r="N95" s="40">
        <v>1</v>
      </c>
      <c r="O95" s="40">
        <v>1</v>
      </c>
      <c r="P95" s="40">
        <v>1</v>
      </c>
      <c r="Q95" s="33"/>
      <c r="R95" s="33"/>
      <c r="S95" s="33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</row>
    <row r="96" spans="1:188" s="57" customFormat="1" ht="19.5" customHeight="1">
      <c r="A96" s="13">
        <v>9</v>
      </c>
      <c r="B96" s="92" t="s">
        <v>157</v>
      </c>
      <c r="C96" s="45"/>
      <c r="D96" s="44">
        <v>153</v>
      </c>
      <c r="E96" s="44">
        <v>30</v>
      </c>
      <c r="F96" s="44">
        <v>153</v>
      </c>
      <c r="G96" s="44">
        <v>153</v>
      </c>
      <c r="H96" s="44">
        <v>153</v>
      </c>
      <c r="I96" s="44">
        <v>153</v>
      </c>
      <c r="J96" s="44">
        <v>153</v>
      </c>
      <c r="K96" s="44">
        <v>153</v>
      </c>
      <c r="L96" s="44">
        <f>SUM(L97,L101,L105)</f>
        <v>10</v>
      </c>
      <c r="M96" s="44">
        <f>SUM(M97,M101,M105)</f>
        <v>13</v>
      </c>
      <c r="N96" s="44">
        <f>SUM(N97,N101,N105)</f>
        <v>5</v>
      </c>
      <c r="O96" s="44">
        <f>SUM(O97,O101,O105)</f>
        <v>3</v>
      </c>
      <c r="P96" s="44">
        <f>SUM(P97,P101,P105)</f>
        <v>6</v>
      </c>
      <c r="Q96" s="54" t="s">
        <v>648</v>
      </c>
      <c r="R96" s="54">
        <v>6</v>
      </c>
      <c r="S96" s="55" t="s">
        <v>739</v>
      </c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</row>
    <row r="97" spans="1:48" s="18" customFormat="1" ht="18.75" customHeight="1">
      <c r="A97" s="50"/>
      <c r="B97" s="93" t="s">
        <v>669</v>
      </c>
      <c r="C97" s="16"/>
      <c r="D97" s="52"/>
      <c r="E97" s="52"/>
      <c r="F97" s="52"/>
      <c r="G97" s="52"/>
      <c r="H97" s="52"/>
      <c r="I97" s="52"/>
      <c r="J97" s="52"/>
      <c r="K97" s="52"/>
      <c r="L97" s="60">
        <f>SUM(L98:L100)</f>
        <v>6</v>
      </c>
      <c r="M97" s="60">
        <f>SUM(M98:M100)</f>
        <v>8</v>
      </c>
      <c r="N97" s="60">
        <f>SUM(N98:N100)</f>
        <v>4</v>
      </c>
      <c r="O97" s="60">
        <f>SUM(O98:O100)</f>
        <v>1</v>
      </c>
      <c r="P97" s="60">
        <f>SUM(P98:P100)</f>
        <v>2</v>
      </c>
      <c r="Q97" s="23"/>
      <c r="R97" s="23"/>
      <c r="S97" s="1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</row>
    <row r="98" spans="1:48" s="27" customFormat="1" ht="16.5" customHeight="1">
      <c r="A98" s="12"/>
      <c r="B98" s="97" t="s">
        <v>448</v>
      </c>
      <c r="C98" s="29" t="s">
        <v>449</v>
      </c>
      <c r="D98" s="51"/>
      <c r="E98" s="51"/>
      <c r="F98" s="51"/>
      <c r="G98" s="51">
        <v>5</v>
      </c>
      <c r="H98" s="51">
        <v>6</v>
      </c>
      <c r="I98" s="51">
        <v>6</v>
      </c>
      <c r="J98" s="51">
        <v>6</v>
      </c>
      <c r="K98" s="51">
        <v>6</v>
      </c>
      <c r="L98" s="40" t="s">
        <v>556</v>
      </c>
      <c r="M98" s="40">
        <v>2</v>
      </c>
      <c r="N98" s="40" t="s">
        <v>556</v>
      </c>
      <c r="O98" s="40" t="s">
        <v>556</v>
      </c>
      <c r="P98" s="40">
        <v>1</v>
      </c>
      <c r="Q98" s="33"/>
      <c r="R98" s="28"/>
      <c r="S98" s="2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</row>
    <row r="99" spans="1:48" s="27" customFormat="1" ht="18" customHeight="1">
      <c r="A99" s="12"/>
      <c r="B99" s="97" t="s">
        <v>260</v>
      </c>
      <c r="C99" s="15" t="s">
        <v>261</v>
      </c>
      <c r="D99" s="51"/>
      <c r="E99" s="51"/>
      <c r="F99" s="51"/>
      <c r="G99" s="51">
        <v>34</v>
      </c>
      <c r="H99" s="51">
        <v>34</v>
      </c>
      <c r="I99" s="51">
        <v>34</v>
      </c>
      <c r="J99" s="51">
        <v>34</v>
      </c>
      <c r="K99" s="51">
        <v>34</v>
      </c>
      <c r="L99" s="40">
        <v>2</v>
      </c>
      <c r="M99" s="40">
        <v>4</v>
      </c>
      <c r="N99" s="40">
        <v>1</v>
      </c>
      <c r="O99" s="40">
        <v>1</v>
      </c>
      <c r="P99" s="40">
        <v>1</v>
      </c>
      <c r="Q99" s="33"/>
      <c r="R99" s="33"/>
      <c r="S99" s="33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</row>
    <row r="100" spans="1:48" s="27" customFormat="1" ht="18" customHeight="1">
      <c r="A100" s="12"/>
      <c r="B100" s="97" t="s">
        <v>1047</v>
      </c>
      <c r="C100" s="29" t="s">
        <v>1048</v>
      </c>
      <c r="D100" s="51"/>
      <c r="E100" s="51"/>
      <c r="F100" s="51"/>
      <c r="G100" s="51">
        <v>17</v>
      </c>
      <c r="H100" s="51">
        <v>19</v>
      </c>
      <c r="I100" s="51">
        <v>19</v>
      </c>
      <c r="J100" s="51">
        <v>19</v>
      </c>
      <c r="K100" s="51">
        <v>19</v>
      </c>
      <c r="L100" s="40">
        <v>4</v>
      </c>
      <c r="M100" s="40">
        <v>2</v>
      </c>
      <c r="N100" s="40">
        <v>3</v>
      </c>
      <c r="O100" s="40" t="s">
        <v>556</v>
      </c>
      <c r="P100" s="40" t="s">
        <v>556</v>
      </c>
      <c r="Q100" s="33"/>
      <c r="R100" s="33"/>
      <c r="S100" s="33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</row>
    <row r="101" spans="1:48" s="18" customFormat="1" ht="18" customHeight="1">
      <c r="A101" s="50"/>
      <c r="B101" s="93" t="s">
        <v>670</v>
      </c>
      <c r="C101" s="16"/>
      <c r="D101" s="52"/>
      <c r="E101" s="51"/>
      <c r="F101" s="52"/>
      <c r="G101" s="52"/>
      <c r="H101" s="52"/>
      <c r="I101" s="52"/>
      <c r="J101" s="52"/>
      <c r="K101" s="52"/>
      <c r="L101" s="60">
        <f>SUM(L102:L104)</f>
        <v>3</v>
      </c>
      <c r="M101" s="60">
        <f>SUM(M102:M104)</f>
        <v>2</v>
      </c>
      <c r="N101" s="60">
        <f>SUM(N102:N104)</f>
        <v>1</v>
      </c>
      <c r="O101" s="60">
        <f>SUM(O102:O104)</f>
        <v>1</v>
      </c>
      <c r="P101" s="60">
        <f>SUM(P102:P104)</f>
        <v>2</v>
      </c>
      <c r="Q101" s="23"/>
      <c r="R101" s="23"/>
      <c r="S101" s="1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</row>
    <row r="102" spans="1:48" s="27" customFormat="1" ht="17.25" customHeight="1">
      <c r="A102" s="12"/>
      <c r="B102" s="97" t="s">
        <v>561</v>
      </c>
      <c r="C102" s="66" t="s">
        <v>804</v>
      </c>
      <c r="D102" s="51"/>
      <c r="E102" s="51"/>
      <c r="F102" s="51"/>
      <c r="G102" s="51">
        <v>4</v>
      </c>
      <c r="H102" s="51">
        <v>4</v>
      </c>
      <c r="I102" s="51">
        <v>4</v>
      </c>
      <c r="J102" s="51">
        <v>4</v>
      </c>
      <c r="K102" s="51">
        <v>4</v>
      </c>
      <c r="L102" s="40" t="s">
        <v>556</v>
      </c>
      <c r="M102" s="40">
        <v>1</v>
      </c>
      <c r="N102" s="40" t="s">
        <v>556</v>
      </c>
      <c r="O102" s="40" t="s">
        <v>556</v>
      </c>
      <c r="P102" s="40">
        <v>1</v>
      </c>
      <c r="Q102" s="30"/>
      <c r="R102" s="30"/>
      <c r="S102" s="30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</row>
    <row r="103" spans="1:48" s="27" customFormat="1" ht="18.75" customHeight="1">
      <c r="A103" s="12"/>
      <c r="B103" s="97" t="s">
        <v>742</v>
      </c>
      <c r="C103" s="15" t="s">
        <v>743</v>
      </c>
      <c r="D103" s="51"/>
      <c r="E103" s="51"/>
      <c r="F103" s="51" t="s">
        <v>556</v>
      </c>
      <c r="G103" s="51">
        <v>3</v>
      </c>
      <c r="H103" s="51">
        <v>3</v>
      </c>
      <c r="I103" s="51">
        <v>3</v>
      </c>
      <c r="J103" s="51">
        <v>3</v>
      </c>
      <c r="K103" s="51">
        <v>3</v>
      </c>
      <c r="L103" s="40">
        <v>1</v>
      </c>
      <c r="M103" s="40">
        <v>1</v>
      </c>
      <c r="N103" s="40">
        <v>1</v>
      </c>
      <c r="O103" s="40">
        <v>1</v>
      </c>
      <c r="P103" s="40">
        <v>1</v>
      </c>
      <c r="Q103" s="33"/>
      <c r="R103" s="33"/>
      <c r="S103" s="33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</row>
    <row r="104" spans="1:48" s="27" customFormat="1" ht="18.75" customHeight="1">
      <c r="A104" s="12"/>
      <c r="B104" s="97" t="s">
        <v>1054</v>
      </c>
      <c r="C104" s="29" t="s">
        <v>1055</v>
      </c>
      <c r="D104" s="51"/>
      <c r="E104" s="51"/>
      <c r="F104" s="51" t="s">
        <v>556</v>
      </c>
      <c r="G104" s="51">
        <v>5</v>
      </c>
      <c r="H104" s="51">
        <v>5</v>
      </c>
      <c r="I104" s="51">
        <v>5</v>
      </c>
      <c r="J104" s="51">
        <v>5</v>
      </c>
      <c r="K104" s="51">
        <v>5</v>
      </c>
      <c r="L104" s="40">
        <v>2</v>
      </c>
      <c r="M104" s="40" t="s">
        <v>556</v>
      </c>
      <c r="N104" s="40" t="s">
        <v>556</v>
      </c>
      <c r="O104" s="40" t="s">
        <v>556</v>
      </c>
      <c r="P104" s="40" t="s">
        <v>556</v>
      </c>
      <c r="Q104" s="33"/>
      <c r="R104" s="33"/>
      <c r="S104" s="33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</row>
    <row r="105" spans="1:48" s="18" customFormat="1" ht="17.25" customHeight="1">
      <c r="A105" s="50"/>
      <c r="B105" s="93" t="s">
        <v>37</v>
      </c>
      <c r="C105" s="16"/>
      <c r="D105" s="52"/>
      <c r="E105" s="51"/>
      <c r="F105" s="52"/>
      <c r="G105" s="52"/>
      <c r="H105" s="52"/>
      <c r="I105" s="52"/>
      <c r="J105" s="52"/>
      <c r="K105" s="52"/>
      <c r="L105" s="60">
        <v>1</v>
      </c>
      <c r="M105" s="60">
        <v>3</v>
      </c>
      <c r="N105" s="60" t="s">
        <v>556</v>
      </c>
      <c r="O105" s="60">
        <v>1</v>
      </c>
      <c r="P105" s="60">
        <v>2</v>
      </c>
      <c r="Q105" s="23"/>
      <c r="R105" s="23"/>
      <c r="S105" s="1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</row>
    <row r="106" spans="1:48" s="27" customFormat="1" ht="18.75" customHeight="1">
      <c r="A106" s="12"/>
      <c r="B106" s="106" t="s">
        <v>262</v>
      </c>
      <c r="C106" s="66" t="s">
        <v>1358</v>
      </c>
      <c r="D106" s="51"/>
      <c r="E106" s="51"/>
      <c r="F106" s="51"/>
      <c r="G106" s="51">
        <v>7</v>
      </c>
      <c r="H106" s="51">
        <v>7</v>
      </c>
      <c r="I106" s="51">
        <v>7</v>
      </c>
      <c r="J106" s="51">
        <v>7</v>
      </c>
      <c r="K106" s="51">
        <v>7</v>
      </c>
      <c r="L106" s="40">
        <v>1</v>
      </c>
      <c r="M106" s="40">
        <v>1</v>
      </c>
      <c r="N106" s="40" t="s">
        <v>556</v>
      </c>
      <c r="O106" s="40">
        <v>1</v>
      </c>
      <c r="P106" s="40">
        <v>1</v>
      </c>
      <c r="Q106" s="30"/>
      <c r="R106" s="30"/>
      <c r="S106" s="30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</row>
    <row r="107" spans="1:48" s="27" customFormat="1" ht="18" customHeight="1">
      <c r="A107" s="12"/>
      <c r="B107" s="106" t="s">
        <v>1045</v>
      </c>
      <c r="C107" s="66" t="s">
        <v>1046</v>
      </c>
      <c r="D107" s="51"/>
      <c r="E107" s="51"/>
      <c r="F107" s="51"/>
      <c r="G107" s="51">
        <v>1</v>
      </c>
      <c r="H107" s="51">
        <v>1</v>
      </c>
      <c r="I107" s="51">
        <v>1</v>
      </c>
      <c r="J107" s="51">
        <v>1</v>
      </c>
      <c r="K107" s="51">
        <v>1</v>
      </c>
      <c r="L107" s="40" t="s">
        <v>556</v>
      </c>
      <c r="M107" s="40">
        <v>1</v>
      </c>
      <c r="N107" s="40" t="s">
        <v>556</v>
      </c>
      <c r="O107" s="40" t="s">
        <v>556</v>
      </c>
      <c r="P107" s="40" t="s">
        <v>556</v>
      </c>
      <c r="Q107" s="30"/>
      <c r="R107" s="30"/>
      <c r="S107" s="30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</row>
    <row r="108" spans="1:48" s="27" customFormat="1" ht="18.75" customHeight="1">
      <c r="A108" s="12"/>
      <c r="B108" s="105" t="s">
        <v>807</v>
      </c>
      <c r="C108" s="15" t="s">
        <v>810</v>
      </c>
      <c r="D108" s="51"/>
      <c r="E108" s="51"/>
      <c r="F108" s="51" t="s">
        <v>556</v>
      </c>
      <c r="G108" s="51">
        <v>2</v>
      </c>
      <c r="H108" s="51">
        <v>2</v>
      </c>
      <c r="I108" s="51">
        <v>2</v>
      </c>
      <c r="J108" s="51">
        <v>2</v>
      </c>
      <c r="K108" s="51">
        <v>2</v>
      </c>
      <c r="L108" s="40" t="s">
        <v>556</v>
      </c>
      <c r="M108" s="40">
        <v>1</v>
      </c>
      <c r="N108" s="40" t="s">
        <v>556</v>
      </c>
      <c r="O108" s="40" t="s">
        <v>556</v>
      </c>
      <c r="P108" s="40">
        <v>1</v>
      </c>
      <c r="Q108" s="30"/>
      <c r="R108" s="30"/>
      <c r="S108" s="30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</row>
    <row r="109" spans="1:19" ht="13.5" customHeight="1">
      <c r="A109" s="400" t="s">
        <v>909</v>
      </c>
      <c r="B109" s="400"/>
      <c r="C109" s="400"/>
      <c r="D109" s="400"/>
      <c r="E109" s="400"/>
      <c r="F109" s="400"/>
      <c r="G109" s="400"/>
      <c r="H109" s="400"/>
      <c r="I109" s="400"/>
      <c r="J109" s="400"/>
      <c r="K109" s="400"/>
      <c r="L109" s="400"/>
      <c r="M109" s="400"/>
      <c r="N109" s="400"/>
      <c r="O109" s="400"/>
      <c r="P109" s="400"/>
      <c r="Q109" s="21"/>
      <c r="R109" s="21"/>
      <c r="S109" s="8"/>
    </row>
    <row r="110" spans="1:188" s="57" customFormat="1" ht="18" customHeight="1">
      <c r="A110" s="13">
        <v>10</v>
      </c>
      <c r="B110" s="92" t="s">
        <v>158</v>
      </c>
      <c r="C110" s="45"/>
      <c r="D110" s="44">
        <v>68</v>
      </c>
      <c r="E110" s="44">
        <v>19</v>
      </c>
      <c r="F110" s="44"/>
      <c r="G110" s="44">
        <v>68</v>
      </c>
      <c r="H110" s="44">
        <v>68</v>
      </c>
      <c r="I110" s="44">
        <v>68</v>
      </c>
      <c r="J110" s="44">
        <v>68</v>
      </c>
      <c r="K110" s="44">
        <v>68</v>
      </c>
      <c r="L110" s="44">
        <v>11</v>
      </c>
      <c r="M110" s="44">
        <v>8</v>
      </c>
      <c r="N110" s="44" t="s">
        <v>556</v>
      </c>
      <c r="O110" s="44" t="s">
        <v>556</v>
      </c>
      <c r="P110" s="44" t="s">
        <v>556</v>
      </c>
      <c r="Q110" s="54" t="s">
        <v>649</v>
      </c>
      <c r="R110" s="54">
        <v>6</v>
      </c>
      <c r="S110" s="55" t="s">
        <v>917</v>
      </c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</row>
    <row r="111" spans="1:48" s="18" customFormat="1" ht="18" customHeight="1">
      <c r="A111" s="50"/>
      <c r="B111" s="93" t="s">
        <v>669</v>
      </c>
      <c r="C111" s="16"/>
      <c r="D111" s="52"/>
      <c r="E111" s="52"/>
      <c r="F111" s="52"/>
      <c r="G111" s="52"/>
      <c r="H111" s="52"/>
      <c r="I111" s="52"/>
      <c r="J111" s="52"/>
      <c r="K111" s="52"/>
      <c r="L111" s="60">
        <v>10</v>
      </c>
      <c r="M111" s="60">
        <v>7</v>
      </c>
      <c r="N111" s="60" t="s">
        <v>556</v>
      </c>
      <c r="O111" s="60" t="s">
        <v>556</v>
      </c>
      <c r="P111" s="60" t="s">
        <v>556</v>
      </c>
      <c r="Q111" s="23"/>
      <c r="R111" s="23"/>
      <c r="S111" s="1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</row>
    <row r="112" spans="1:48" s="27" customFormat="1" ht="15.75" customHeight="1">
      <c r="A112" s="12"/>
      <c r="B112" s="97" t="s">
        <v>1049</v>
      </c>
      <c r="C112" s="29" t="s">
        <v>1050</v>
      </c>
      <c r="D112" s="51"/>
      <c r="E112" s="51"/>
      <c r="F112" s="51"/>
      <c r="G112" s="51">
        <v>24</v>
      </c>
      <c r="H112" s="51">
        <v>24</v>
      </c>
      <c r="I112" s="51">
        <v>24</v>
      </c>
      <c r="J112" s="51">
        <v>24</v>
      </c>
      <c r="K112" s="51">
        <v>24</v>
      </c>
      <c r="L112" s="40">
        <v>6</v>
      </c>
      <c r="M112" s="40">
        <v>6</v>
      </c>
      <c r="N112" s="40" t="s">
        <v>556</v>
      </c>
      <c r="O112" s="40" t="s">
        <v>556</v>
      </c>
      <c r="P112" s="40" t="s">
        <v>556</v>
      </c>
      <c r="Q112" s="33"/>
      <c r="R112" s="28"/>
      <c r="S112" s="2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</row>
    <row r="113" spans="1:48" s="27" customFormat="1" ht="15.75" customHeight="1">
      <c r="A113" s="12"/>
      <c r="B113" s="97" t="s">
        <v>594</v>
      </c>
      <c r="C113" s="15" t="s">
        <v>783</v>
      </c>
      <c r="D113" s="51"/>
      <c r="E113" s="51"/>
      <c r="F113" s="51"/>
      <c r="G113" s="51">
        <v>6</v>
      </c>
      <c r="H113" s="51">
        <v>6</v>
      </c>
      <c r="I113" s="51">
        <v>6</v>
      </c>
      <c r="J113" s="51">
        <v>6</v>
      </c>
      <c r="K113" s="51">
        <v>6</v>
      </c>
      <c r="L113" s="40">
        <v>2</v>
      </c>
      <c r="M113" s="40">
        <v>1</v>
      </c>
      <c r="N113" s="40"/>
      <c r="O113" s="40"/>
      <c r="P113" s="40"/>
      <c r="Q113" s="30"/>
      <c r="R113" s="30"/>
      <c r="S113" s="30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</row>
    <row r="114" spans="1:48" s="27" customFormat="1" ht="16.5" customHeight="1">
      <c r="A114" s="12"/>
      <c r="B114" s="97" t="s">
        <v>595</v>
      </c>
      <c r="C114" s="29" t="s">
        <v>596</v>
      </c>
      <c r="D114" s="51"/>
      <c r="E114" s="51"/>
      <c r="F114" s="51"/>
      <c r="G114" s="51">
        <v>7</v>
      </c>
      <c r="H114" s="51">
        <v>7</v>
      </c>
      <c r="I114" s="51">
        <v>7</v>
      </c>
      <c r="J114" s="51">
        <v>7</v>
      </c>
      <c r="K114" s="51">
        <v>7</v>
      </c>
      <c r="L114" s="40">
        <v>2</v>
      </c>
      <c r="M114" s="40" t="s">
        <v>556</v>
      </c>
      <c r="N114" s="40" t="s">
        <v>556</v>
      </c>
      <c r="O114" s="40" t="s">
        <v>556</v>
      </c>
      <c r="P114" s="40" t="s">
        <v>556</v>
      </c>
      <c r="Q114" s="30"/>
      <c r="R114" s="30"/>
      <c r="S114" s="30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</row>
    <row r="115" spans="1:48" s="18" customFormat="1" ht="18" customHeight="1">
      <c r="A115" s="50"/>
      <c r="B115" s="93" t="s">
        <v>670</v>
      </c>
      <c r="C115" s="16"/>
      <c r="D115" s="52"/>
      <c r="E115" s="52"/>
      <c r="F115" s="52"/>
      <c r="G115" s="52"/>
      <c r="H115" s="52"/>
      <c r="I115" s="52"/>
      <c r="J115" s="52"/>
      <c r="K115" s="52"/>
      <c r="L115" s="60">
        <v>1</v>
      </c>
      <c r="M115" s="60"/>
      <c r="N115" s="60"/>
      <c r="O115" s="60"/>
      <c r="P115" s="60"/>
      <c r="Q115" s="23"/>
      <c r="R115" s="23"/>
      <c r="S115" s="1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</row>
    <row r="116" spans="1:48" s="27" customFormat="1" ht="18.75" customHeight="1">
      <c r="A116" s="12"/>
      <c r="B116" s="97" t="s">
        <v>561</v>
      </c>
      <c r="C116" s="66" t="s">
        <v>804</v>
      </c>
      <c r="D116" s="51"/>
      <c r="E116" s="51"/>
      <c r="F116" s="51"/>
      <c r="G116" s="51">
        <v>1</v>
      </c>
      <c r="H116" s="51">
        <v>1</v>
      </c>
      <c r="I116" s="51">
        <v>1</v>
      </c>
      <c r="J116" s="51">
        <v>1</v>
      </c>
      <c r="K116" s="51">
        <v>1</v>
      </c>
      <c r="L116" s="40">
        <v>1</v>
      </c>
      <c r="M116" s="40" t="s">
        <v>556</v>
      </c>
      <c r="N116" s="40" t="s">
        <v>556</v>
      </c>
      <c r="O116" s="40" t="s">
        <v>556</v>
      </c>
      <c r="P116" s="40" t="s">
        <v>556</v>
      </c>
      <c r="Q116" s="30"/>
      <c r="R116" s="30"/>
      <c r="S116" s="30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</row>
    <row r="117" spans="1:48" s="18" customFormat="1" ht="17.25" customHeight="1">
      <c r="A117" s="50"/>
      <c r="B117" s="93" t="s">
        <v>37</v>
      </c>
      <c r="C117" s="16"/>
      <c r="D117" s="52"/>
      <c r="E117" s="51"/>
      <c r="F117" s="52"/>
      <c r="G117" s="52"/>
      <c r="H117" s="52"/>
      <c r="I117" s="52"/>
      <c r="J117" s="52"/>
      <c r="K117" s="52"/>
      <c r="L117" s="60" t="str">
        <f>L118</f>
        <v> -</v>
      </c>
      <c r="M117" s="60">
        <f>M118</f>
        <v>1</v>
      </c>
      <c r="N117" s="60" t="str">
        <f>N118</f>
        <v> -</v>
      </c>
      <c r="O117" s="60" t="str">
        <f>O118</f>
        <v> -</v>
      </c>
      <c r="P117" s="60" t="str">
        <f>P118</f>
        <v> -</v>
      </c>
      <c r="Q117" s="23"/>
      <c r="R117" s="23"/>
      <c r="S117" s="1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</row>
    <row r="118" spans="1:48" s="27" customFormat="1" ht="15.75" customHeight="1">
      <c r="A118" s="12"/>
      <c r="B118" s="106" t="s">
        <v>1045</v>
      </c>
      <c r="C118" s="66" t="s">
        <v>1046</v>
      </c>
      <c r="D118" s="51"/>
      <c r="E118" s="51"/>
      <c r="F118" s="51" t="s">
        <v>556</v>
      </c>
      <c r="G118" s="51">
        <v>1</v>
      </c>
      <c r="H118" s="51">
        <v>1</v>
      </c>
      <c r="I118" s="51">
        <v>1</v>
      </c>
      <c r="J118" s="51">
        <v>1</v>
      </c>
      <c r="K118" s="51">
        <v>1</v>
      </c>
      <c r="L118" s="40" t="s">
        <v>556</v>
      </c>
      <c r="M118" s="40">
        <v>1</v>
      </c>
      <c r="N118" s="40" t="s">
        <v>556</v>
      </c>
      <c r="O118" s="40" t="s">
        <v>556</v>
      </c>
      <c r="P118" s="40" t="s">
        <v>556</v>
      </c>
      <c r="Q118" s="33"/>
      <c r="R118" s="33"/>
      <c r="S118" s="33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</row>
    <row r="119" spans="1:19" ht="14.25" customHeight="1">
      <c r="A119" s="399" t="s">
        <v>660</v>
      </c>
      <c r="B119" s="399"/>
      <c r="C119" s="399"/>
      <c r="D119" s="399"/>
      <c r="E119" s="399"/>
      <c r="F119" s="399"/>
      <c r="G119" s="399"/>
      <c r="H119" s="399"/>
      <c r="I119" s="399"/>
      <c r="J119" s="399"/>
      <c r="K119" s="399"/>
      <c r="L119" s="399"/>
      <c r="M119" s="399"/>
      <c r="N119" s="399"/>
      <c r="O119" s="399"/>
      <c r="P119" s="399"/>
      <c r="Q119" s="20"/>
      <c r="R119" s="20"/>
      <c r="S119" s="7"/>
    </row>
    <row r="120" spans="1:19" ht="13.5" customHeight="1">
      <c r="A120" s="400" t="s">
        <v>909</v>
      </c>
      <c r="B120" s="400"/>
      <c r="C120" s="400"/>
      <c r="D120" s="400"/>
      <c r="E120" s="400"/>
      <c r="F120" s="400"/>
      <c r="G120" s="400"/>
      <c r="H120" s="400"/>
      <c r="I120" s="400"/>
      <c r="J120" s="400"/>
      <c r="K120" s="400"/>
      <c r="L120" s="400"/>
      <c r="M120" s="400"/>
      <c r="N120" s="400"/>
      <c r="O120" s="400"/>
      <c r="P120" s="400"/>
      <c r="Q120" s="21"/>
      <c r="R120" s="21"/>
      <c r="S120" s="8"/>
    </row>
    <row r="121" spans="1:188" s="57" customFormat="1" ht="18" customHeight="1">
      <c r="A121" s="13">
        <v>11</v>
      </c>
      <c r="B121" s="92" t="s">
        <v>46</v>
      </c>
      <c r="C121" s="45"/>
      <c r="D121" s="44">
        <v>83</v>
      </c>
      <c r="E121" s="44">
        <v>10</v>
      </c>
      <c r="F121" s="44"/>
      <c r="G121" s="44">
        <v>83</v>
      </c>
      <c r="H121" s="44">
        <v>83</v>
      </c>
      <c r="I121" s="44">
        <v>83</v>
      </c>
      <c r="J121" s="44">
        <v>83</v>
      </c>
      <c r="K121" s="44">
        <v>83</v>
      </c>
      <c r="L121" s="44" t="s">
        <v>556</v>
      </c>
      <c r="M121" s="44">
        <v>2</v>
      </c>
      <c r="N121" s="44">
        <v>2</v>
      </c>
      <c r="O121" s="44" t="s">
        <v>556</v>
      </c>
      <c r="P121" s="44" t="s">
        <v>556</v>
      </c>
      <c r="Q121" s="54" t="s">
        <v>648</v>
      </c>
      <c r="R121" s="54">
        <v>6</v>
      </c>
      <c r="S121" s="58" t="s">
        <v>677</v>
      </c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/>
      <c r="FK121" s="56"/>
      <c r="FL121" s="56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/>
    </row>
    <row r="122" spans="1:48" s="18" customFormat="1" ht="18" customHeight="1">
      <c r="A122" s="50"/>
      <c r="B122" s="93" t="s">
        <v>526</v>
      </c>
      <c r="C122" s="16"/>
      <c r="D122" s="52"/>
      <c r="E122" s="52"/>
      <c r="F122" s="52"/>
      <c r="G122" s="52"/>
      <c r="H122" s="52"/>
      <c r="I122" s="52"/>
      <c r="J122" s="52"/>
      <c r="K122" s="52"/>
      <c r="L122" s="60" t="s">
        <v>556</v>
      </c>
      <c r="M122" s="60">
        <v>2</v>
      </c>
      <c r="N122" s="60">
        <v>1</v>
      </c>
      <c r="O122" s="60" t="s">
        <v>556</v>
      </c>
      <c r="P122" s="60" t="s">
        <v>556</v>
      </c>
      <c r="Q122" s="23"/>
      <c r="R122" s="23"/>
      <c r="S122" s="1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</row>
    <row r="123" spans="1:48" s="27" customFormat="1" ht="15.75" customHeight="1">
      <c r="A123" s="12"/>
      <c r="B123" s="97" t="s">
        <v>634</v>
      </c>
      <c r="C123" s="29" t="s">
        <v>639</v>
      </c>
      <c r="D123" s="51"/>
      <c r="E123" s="51"/>
      <c r="F123" s="51"/>
      <c r="G123" s="51">
        <v>3</v>
      </c>
      <c r="H123" s="51">
        <v>3</v>
      </c>
      <c r="I123" s="51">
        <v>3</v>
      </c>
      <c r="J123" s="51">
        <v>3</v>
      </c>
      <c r="K123" s="51">
        <v>3</v>
      </c>
      <c r="L123" s="40" t="s">
        <v>556</v>
      </c>
      <c r="M123" s="40">
        <v>1</v>
      </c>
      <c r="N123" s="40" t="s">
        <v>556</v>
      </c>
      <c r="O123" s="40" t="s">
        <v>556</v>
      </c>
      <c r="P123" s="40" t="s">
        <v>556</v>
      </c>
      <c r="Q123" s="33"/>
      <c r="R123" s="28"/>
      <c r="S123" s="2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</row>
    <row r="124" spans="1:48" s="27" customFormat="1" ht="15.75" customHeight="1">
      <c r="A124" s="12"/>
      <c r="B124" s="97" t="s">
        <v>555</v>
      </c>
      <c r="C124" s="29" t="s">
        <v>445</v>
      </c>
      <c r="D124" s="51"/>
      <c r="E124" s="51"/>
      <c r="F124" s="51"/>
      <c r="G124" s="51">
        <v>3</v>
      </c>
      <c r="H124" s="51">
        <v>3</v>
      </c>
      <c r="I124" s="51">
        <v>3</v>
      </c>
      <c r="J124" s="51">
        <v>3</v>
      </c>
      <c r="K124" s="51">
        <v>3</v>
      </c>
      <c r="L124" s="40" t="s">
        <v>556</v>
      </c>
      <c r="M124" s="40" t="s">
        <v>556</v>
      </c>
      <c r="N124" s="40">
        <v>1</v>
      </c>
      <c r="O124" s="40" t="s">
        <v>556</v>
      </c>
      <c r="P124" s="40" t="s">
        <v>556</v>
      </c>
      <c r="Q124" s="33"/>
      <c r="R124" s="33"/>
      <c r="S124" s="33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</row>
    <row r="125" spans="1:48" s="27" customFormat="1" ht="15.75" customHeight="1">
      <c r="A125" s="12"/>
      <c r="B125" s="97" t="s">
        <v>521</v>
      </c>
      <c r="C125" s="29" t="s">
        <v>522</v>
      </c>
      <c r="D125" s="51"/>
      <c r="E125" s="51"/>
      <c r="F125" s="51"/>
      <c r="G125" s="51">
        <v>2</v>
      </c>
      <c r="H125" s="51">
        <v>2</v>
      </c>
      <c r="I125" s="51">
        <v>2</v>
      </c>
      <c r="J125" s="51">
        <v>2</v>
      </c>
      <c r="K125" s="51">
        <v>2</v>
      </c>
      <c r="L125" s="40" t="s">
        <v>556</v>
      </c>
      <c r="M125" s="40">
        <v>1</v>
      </c>
      <c r="N125" s="40" t="s">
        <v>556</v>
      </c>
      <c r="O125" s="40" t="s">
        <v>556</v>
      </c>
      <c r="P125" s="40" t="s">
        <v>556</v>
      </c>
      <c r="Q125" s="33"/>
      <c r="R125" s="33"/>
      <c r="S125" s="33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</row>
    <row r="126" spans="1:48" s="18" customFormat="1" ht="17.25" customHeight="1">
      <c r="A126" s="50"/>
      <c r="B126" s="93" t="s">
        <v>37</v>
      </c>
      <c r="C126" s="16"/>
      <c r="D126" s="52"/>
      <c r="E126" s="51"/>
      <c r="F126" s="52"/>
      <c r="G126" s="52"/>
      <c r="H126" s="52"/>
      <c r="I126" s="52"/>
      <c r="J126" s="52"/>
      <c r="K126" s="52"/>
      <c r="L126" s="60" t="str">
        <f>L127</f>
        <v> -</v>
      </c>
      <c r="M126" s="60" t="str">
        <f>M127</f>
        <v> -</v>
      </c>
      <c r="N126" s="60">
        <f>N127</f>
        <v>1</v>
      </c>
      <c r="O126" s="60" t="str">
        <f>O127</f>
        <v> -</v>
      </c>
      <c r="P126" s="60" t="str">
        <f>P127</f>
        <v> -</v>
      </c>
      <c r="Q126" s="23"/>
      <c r="R126" s="23"/>
      <c r="S126" s="1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</row>
    <row r="127" spans="1:48" s="27" customFormat="1" ht="18.75" customHeight="1">
      <c r="A127" s="12"/>
      <c r="B127" s="97" t="s">
        <v>869</v>
      </c>
      <c r="C127" s="15" t="s">
        <v>870</v>
      </c>
      <c r="D127" s="51"/>
      <c r="E127" s="51"/>
      <c r="F127" s="51"/>
      <c r="G127" s="51">
        <v>1</v>
      </c>
      <c r="H127" s="51">
        <v>1</v>
      </c>
      <c r="I127" s="51">
        <v>1</v>
      </c>
      <c r="J127" s="51">
        <v>1</v>
      </c>
      <c r="K127" s="51">
        <v>1</v>
      </c>
      <c r="L127" s="40" t="s">
        <v>556</v>
      </c>
      <c r="M127" s="40" t="s">
        <v>556</v>
      </c>
      <c r="N127" s="40">
        <v>1</v>
      </c>
      <c r="O127" s="40" t="s">
        <v>556</v>
      </c>
      <c r="P127" s="40" t="s">
        <v>556</v>
      </c>
      <c r="Q127" s="33"/>
      <c r="R127" s="33"/>
      <c r="S127" s="33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</row>
    <row r="128" spans="1:19" ht="14.25" customHeight="1">
      <c r="A128" s="399" t="s">
        <v>659</v>
      </c>
      <c r="B128" s="399"/>
      <c r="C128" s="399"/>
      <c r="D128" s="399"/>
      <c r="E128" s="399"/>
      <c r="F128" s="399"/>
      <c r="G128" s="399"/>
      <c r="H128" s="399"/>
      <c r="I128" s="399"/>
      <c r="J128" s="399"/>
      <c r="K128" s="399"/>
      <c r="L128" s="399"/>
      <c r="M128" s="399"/>
      <c r="N128" s="399"/>
      <c r="O128" s="399"/>
      <c r="P128" s="399"/>
      <c r="Q128" s="20"/>
      <c r="R128" s="20"/>
      <c r="S128" s="7"/>
    </row>
    <row r="129" spans="1:19" ht="13.5" customHeight="1">
      <c r="A129" s="400" t="s">
        <v>676</v>
      </c>
      <c r="B129" s="400"/>
      <c r="C129" s="400"/>
      <c r="D129" s="400"/>
      <c r="E129" s="400"/>
      <c r="F129" s="400"/>
      <c r="G129" s="400"/>
      <c r="H129" s="400"/>
      <c r="I129" s="400"/>
      <c r="J129" s="400"/>
      <c r="K129" s="400"/>
      <c r="L129" s="400"/>
      <c r="M129" s="400"/>
      <c r="N129" s="400"/>
      <c r="O129" s="400"/>
      <c r="P129" s="400"/>
      <c r="Q129" s="21"/>
      <c r="R129" s="21"/>
      <c r="S129" s="8"/>
    </row>
    <row r="130" spans="1:188" s="205" customFormat="1" ht="18" customHeight="1">
      <c r="A130" s="13">
        <v>12</v>
      </c>
      <c r="B130" s="92" t="s">
        <v>159</v>
      </c>
      <c r="C130" s="45"/>
      <c r="D130" s="44">
        <v>135</v>
      </c>
      <c r="E130" s="44">
        <v>38</v>
      </c>
      <c r="F130" s="44">
        <v>153</v>
      </c>
      <c r="G130" s="44">
        <v>184</v>
      </c>
      <c r="H130" s="44">
        <v>184</v>
      </c>
      <c r="I130" s="44">
        <v>184</v>
      </c>
      <c r="J130" s="44"/>
      <c r="K130" s="44">
        <v>184</v>
      </c>
      <c r="L130" s="44">
        <f>L131</f>
        <v>4</v>
      </c>
      <c r="M130" s="44">
        <v>27</v>
      </c>
      <c r="N130" s="44">
        <v>14</v>
      </c>
      <c r="O130" s="44">
        <v>9</v>
      </c>
      <c r="P130" s="44">
        <v>11</v>
      </c>
      <c r="Q130" s="201" t="s">
        <v>648</v>
      </c>
      <c r="R130" s="201">
        <v>8</v>
      </c>
      <c r="S130" s="202" t="s">
        <v>737</v>
      </c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204"/>
      <c r="AK130" s="204"/>
      <c r="AL130" s="204"/>
      <c r="AM130" s="204"/>
      <c r="AN130" s="204"/>
      <c r="AO130" s="204"/>
      <c r="AP130" s="204"/>
      <c r="AQ130" s="204"/>
      <c r="AR130" s="204"/>
      <c r="AS130" s="204"/>
      <c r="AT130" s="204"/>
      <c r="AU130" s="204"/>
      <c r="AV130" s="204"/>
      <c r="AW130" s="204"/>
      <c r="AX130" s="204"/>
      <c r="AY130" s="204"/>
      <c r="AZ130" s="204"/>
      <c r="BA130" s="204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  <c r="BZ130" s="204"/>
      <c r="CA130" s="204"/>
      <c r="CB130" s="204"/>
      <c r="CC130" s="204"/>
      <c r="CD130" s="204"/>
      <c r="CE130" s="204"/>
      <c r="CF130" s="204"/>
      <c r="CG130" s="204"/>
      <c r="CH130" s="204"/>
      <c r="CI130" s="204"/>
      <c r="CJ130" s="204"/>
      <c r="CK130" s="204"/>
      <c r="CL130" s="204"/>
      <c r="CM130" s="204"/>
      <c r="CN130" s="204"/>
      <c r="CO130" s="204"/>
      <c r="CP130" s="204"/>
      <c r="CQ130" s="204"/>
      <c r="CR130" s="204"/>
      <c r="CS130" s="204"/>
      <c r="CT130" s="204"/>
      <c r="CU130" s="204"/>
      <c r="CV130" s="204"/>
      <c r="CW130" s="204"/>
      <c r="CX130" s="204"/>
      <c r="CY130" s="204"/>
      <c r="CZ130" s="204"/>
      <c r="DA130" s="204"/>
      <c r="DB130" s="204"/>
      <c r="DC130" s="204"/>
      <c r="DD130" s="204"/>
      <c r="DE130" s="204"/>
      <c r="DF130" s="204"/>
      <c r="DG130" s="204"/>
      <c r="DH130" s="204"/>
      <c r="DI130" s="204"/>
      <c r="DJ130" s="204"/>
      <c r="DK130" s="204"/>
      <c r="DL130" s="204"/>
      <c r="DM130" s="204"/>
      <c r="DN130" s="204"/>
      <c r="DO130" s="204"/>
      <c r="DP130" s="204"/>
      <c r="DQ130" s="204"/>
      <c r="DR130" s="204"/>
      <c r="DS130" s="204"/>
      <c r="DT130" s="204"/>
      <c r="DU130" s="204"/>
      <c r="DV130" s="204"/>
      <c r="DW130" s="204"/>
      <c r="DX130" s="204"/>
      <c r="DY130" s="204"/>
      <c r="DZ130" s="204"/>
      <c r="EA130" s="204"/>
      <c r="EB130" s="204"/>
      <c r="EC130" s="204"/>
      <c r="ED130" s="204"/>
      <c r="EE130" s="204"/>
      <c r="EF130" s="204"/>
      <c r="EG130" s="204"/>
      <c r="EH130" s="204"/>
      <c r="EI130" s="204"/>
      <c r="EJ130" s="204"/>
      <c r="EK130" s="204"/>
      <c r="EL130" s="204"/>
      <c r="EM130" s="204"/>
      <c r="EN130" s="204"/>
      <c r="EO130" s="204"/>
      <c r="EP130" s="204"/>
      <c r="EQ130" s="204"/>
      <c r="ER130" s="204"/>
      <c r="ES130" s="204"/>
      <c r="ET130" s="204"/>
      <c r="EU130" s="204"/>
      <c r="EV130" s="204"/>
      <c r="EW130" s="204"/>
      <c r="EX130" s="204"/>
      <c r="EY130" s="204"/>
      <c r="EZ130" s="204"/>
      <c r="FA130" s="204"/>
      <c r="FB130" s="204"/>
      <c r="FC130" s="204"/>
      <c r="FD130" s="204"/>
      <c r="FE130" s="204"/>
      <c r="FF130" s="204"/>
      <c r="FG130" s="204"/>
      <c r="FH130" s="204"/>
      <c r="FI130" s="204"/>
      <c r="FJ130" s="204"/>
      <c r="FK130" s="204"/>
      <c r="FL130" s="204"/>
      <c r="FM130" s="204"/>
      <c r="FN130" s="204"/>
      <c r="FO130" s="204"/>
      <c r="FP130" s="204"/>
      <c r="FQ130" s="204"/>
      <c r="FR130" s="204"/>
      <c r="FS130" s="204"/>
      <c r="FT130" s="204"/>
      <c r="FU130" s="204"/>
      <c r="FV130" s="204"/>
      <c r="FW130" s="204"/>
      <c r="FX130" s="204"/>
      <c r="FY130" s="204"/>
      <c r="FZ130" s="204"/>
      <c r="GA130" s="204"/>
      <c r="GB130" s="204"/>
      <c r="GC130" s="204"/>
      <c r="GD130" s="204"/>
      <c r="GE130" s="204"/>
      <c r="GF130" s="204"/>
    </row>
    <row r="131" spans="1:19" s="207" customFormat="1" ht="17.25" customHeight="1">
      <c r="A131" s="50"/>
      <c r="B131" s="93" t="s">
        <v>669</v>
      </c>
      <c r="C131" s="94"/>
      <c r="D131" s="60">
        <f>D132+D133+D134+D135+D136+D137+D138</f>
        <v>69</v>
      </c>
      <c r="E131" s="60">
        <f aca="true" t="shared" si="1" ref="E131:P131">E132+E133+E134+E135+E136+E137+E138</f>
        <v>15</v>
      </c>
      <c r="F131" s="60">
        <f t="shared" si="1"/>
        <v>16</v>
      </c>
      <c r="G131" s="60">
        <f t="shared" si="1"/>
        <v>16</v>
      </c>
      <c r="H131" s="60">
        <f t="shared" si="1"/>
        <v>16</v>
      </c>
      <c r="I131" s="60">
        <f t="shared" si="1"/>
        <v>17</v>
      </c>
      <c r="J131" s="60">
        <f t="shared" si="1"/>
        <v>0</v>
      </c>
      <c r="K131" s="60">
        <f t="shared" si="1"/>
        <v>17</v>
      </c>
      <c r="L131" s="60">
        <f t="shared" si="1"/>
        <v>4</v>
      </c>
      <c r="M131" s="60">
        <f t="shared" si="1"/>
        <v>16</v>
      </c>
      <c r="N131" s="60">
        <f t="shared" si="1"/>
        <v>10</v>
      </c>
      <c r="O131" s="60">
        <f t="shared" si="1"/>
        <v>8</v>
      </c>
      <c r="P131" s="60">
        <f t="shared" si="1"/>
        <v>10</v>
      </c>
      <c r="Q131" s="254">
        <f>SUM(Q132:Q138)</f>
        <v>0</v>
      </c>
      <c r="R131" s="206">
        <f>SUM(R132:R138)</f>
        <v>0</v>
      </c>
      <c r="S131" s="206">
        <f>SUM(S132:S138)</f>
        <v>0</v>
      </c>
    </row>
    <row r="132" spans="1:19" s="211" customFormat="1" ht="15.75" customHeight="1">
      <c r="A132" s="12"/>
      <c r="B132" s="97" t="s">
        <v>594</v>
      </c>
      <c r="C132" s="15" t="s">
        <v>295</v>
      </c>
      <c r="D132" s="40">
        <v>16</v>
      </c>
      <c r="E132" s="40">
        <v>3</v>
      </c>
      <c r="F132" s="40">
        <v>16</v>
      </c>
      <c r="G132" s="40">
        <v>16</v>
      </c>
      <c r="H132" s="40">
        <v>16</v>
      </c>
      <c r="I132" s="40">
        <v>17</v>
      </c>
      <c r="J132" s="40"/>
      <c r="K132" s="40">
        <v>17</v>
      </c>
      <c r="L132" s="40">
        <v>4</v>
      </c>
      <c r="M132" s="40">
        <v>4</v>
      </c>
      <c r="N132" s="40">
        <v>2</v>
      </c>
      <c r="O132" s="40">
        <v>2</v>
      </c>
      <c r="P132" s="40">
        <v>3</v>
      </c>
      <c r="Q132" s="218"/>
      <c r="R132" s="208"/>
      <c r="S132" s="208"/>
    </row>
    <row r="133" spans="1:19" s="211" customFormat="1" ht="15.75" customHeight="1">
      <c r="A133" s="12"/>
      <c r="B133" s="97" t="s">
        <v>380</v>
      </c>
      <c r="C133" s="15" t="s">
        <v>207</v>
      </c>
      <c r="D133" s="40">
        <v>11</v>
      </c>
      <c r="E133" s="40">
        <v>2</v>
      </c>
      <c r="F133" s="40"/>
      <c r="G133" s="40"/>
      <c r="H133" s="40"/>
      <c r="I133" s="40"/>
      <c r="J133" s="40"/>
      <c r="K133" s="40"/>
      <c r="L133" s="40"/>
      <c r="M133" s="40">
        <v>2</v>
      </c>
      <c r="N133" s="40">
        <v>2</v>
      </c>
      <c r="O133" s="40">
        <v>2</v>
      </c>
      <c r="P133" s="40">
        <v>2</v>
      </c>
      <c r="Q133" s="218"/>
      <c r="R133" s="208"/>
      <c r="S133" s="208"/>
    </row>
    <row r="134" spans="1:19" s="211" customFormat="1" ht="15.75" customHeight="1">
      <c r="A134" s="12"/>
      <c r="B134" s="97" t="s">
        <v>208</v>
      </c>
      <c r="C134" s="15" t="s">
        <v>636</v>
      </c>
      <c r="D134" s="40">
        <v>24</v>
      </c>
      <c r="E134" s="40">
        <v>3</v>
      </c>
      <c r="F134" s="40"/>
      <c r="G134" s="40"/>
      <c r="H134" s="40"/>
      <c r="I134" s="40"/>
      <c r="J134" s="40"/>
      <c r="K134" s="40"/>
      <c r="L134" s="40"/>
      <c r="M134" s="40">
        <v>3</v>
      </c>
      <c r="N134" s="40">
        <v>2</v>
      </c>
      <c r="O134" s="40">
        <v>2</v>
      </c>
      <c r="P134" s="40">
        <v>2</v>
      </c>
      <c r="Q134" s="218"/>
      <c r="R134" s="208"/>
      <c r="S134" s="208"/>
    </row>
    <row r="135" spans="1:19" s="211" customFormat="1" ht="15.75" customHeight="1">
      <c r="A135" s="12"/>
      <c r="B135" s="97" t="s">
        <v>209</v>
      </c>
      <c r="C135" s="15" t="s">
        <v>1050</v>
      </c>
      <c r="D135" s="40">
        <v>13</v>
      </c>
      <c r="E135" s="40">
        <v>5</v>
      </c>
      <c r="F135" s="40"/>
      <c r="G135" s="40"/>
      <c r="H135" s="40"/>
      <c r="I135" s="40"/>
      <c r="J135" s="40"/>
      <c r="K135" s="40"/>
      <c r="L135" s="40"/>
      <c r="M135" s="40">
        <v>6</v>
      </c>
      <c r="N135" s="40">
        <v>2</v>
      </c>
      <c r="O135" s="40">
        <v>2</v>
      </c>
      <c r="P135" s="40">
        <v>2</v>
      </c>
      <c r="Q135" s="218"/>
      <c r="R135" s="208"/>
      <c r="S135" s="208"/>
    </row>
    <row r="136" spans="1:19" s="211" customFormat="1" ht="15.75" customHeight="1">
      <c r="A136" s="12"/>
      <c r="B136" s="97" t="s">
        <v>1316</v>
      </c>
      <c r="C136" s="15" t="s">
        <v>1317</v>
      </c>
      <c r="D136" s="40">
        <v>2</v>
      </c>
      <c r="E136" s="40">
        <v>2</v>
      </c>
      <c r="F136" s="40"/>
      <c r="G136" s="40"/>
      <c r="H136" s="40"/>
      <c r="I136" s="40"/>
      <c r="J136" s="40"/>
      <c r="K136" s="40"/>
      <c r="L136" s="40"/>
      <c r="M136" s="40"/>
      <c r="N136" s="40">
        <v>2</v>
      </c>
      <c r="O136" s="40"/>
      <c r="P136" s="40"/>
      <c r="Q136" s="218"/>
      <c r="R136" s="208"/>
      <c r="S136" s="208"/>
    </row>
    <row r="137" spans="1:19" s="211" customFormat="1" ht="15.75" customHeight="1">
      <c r="A137" s="12"/>
      <c r="B137" s="97" t="s">
        <v>210</v>
      </c>
      <c r="C137" s="15" t="s">
        <v>1322</v>
      </c>
      <c r="D137" s="40">
        <v>1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>
        <v>1</v>
      </c>
      <c r="Q137" s="218"/>
      <c r="R137" s="208"/>
      <c r="S137" s="208"/>
    </row>
    <row r="138" spans="1:19" s="211" customFormat="1" ht="15.75" customHeight="1">
      <c r="A138" s="12"/>
      <c r="B138" s="97" t="s">
        <v>211</v>
      </c>
      <c r="C138" s="15" t="s">
        <v>639</v>
      </c>
      <c r="D138" s="40">
        <v>2</v>
      </c>
      <c r="E138" s="40"/>
      <c r="F138" s="40"/>
      <c r="G138" s="40"/>
      <c r="H138" s="40"/>
      <c r="I138" s="40"/>
      <c r="J138" s="40"/>
      <c r="K138" s="40"/>
      <c r="L138" s="40"/>
      <c r="M138" s="40">
        <v>1</v>
      </c>
      <c r="N138" s="40"/>
      <c r="O138" s="40"/>
      <c r="P138" s="40"/>
      <c r="Q138" s="218"/>
      <c r="R138" s="208"/>
      <c r="S138" s="208"/>
    </row>
    <row r="139" spans="1:19" s="207" customFormat="1" ht="16.5" customHeight="1">
      <c r="A139" s="50"/>
      <c r="B139" s="93" t="s">
        <v>1336</v>
      </c>
      <c r="C139" s="94"/>
      <c r="D139" s="60">
        <f>D140+D141+D142+D143+D144</f>
        <v>13</v>
      </c>
      <c r="E139" s="60">
        <f aca="true" t="shared" si="2" ref="E139:O139">E140+E141+E142+E143+E144</f>
        <v>7</v>
      </c>
      <c r="F139" s="60">
        <f t="shared" si="2"/>
        <v>0</v>
      </c>
      <c r="G139" s="60">
        <f t="shared" si="2"/>
        <v>0</v>
      </c>
      <c r="H139" s="60">
        <f t="shared" si="2"/>
        <v>0</v>
      </c>
      <c r="I139" s="60">
        <f t="shared" si="2"/>
        <v>0</v>
      </c>
      <c r="J139" s="60">
        <f t="shared" si="2"/>
        <v>0</v>
      </c>
      <c r="K139" s="60">
        <f t="shared" si="2"/>
        <v>0</v>
      </c>
      <c r="L139" s="60"/>
      <c r="M139" s="60">
        <f t="shared" si="2"/>
        <v>7</v>
      </c>
      <c r="N139" s="60">
        <f t="shared" si="2"/>
        <v>4</v>
      </c>
      <c r="O139" s="60">
        <f t="shared" si="2"/>
        <v>1</v>
      </c>
      <c r="P139" s="60"/>
      <c r="Q139" s="216"/>
      <c r="R139" s="216"/>
      <c r="S139" s="217"/>
    </row>
    <row r="140" spans="1:19" s="222" customFormat="1" ht="16.5" customHeight="1">
      <c r="A140" s="388"/>
      <c r="B140" s="105" t="s">
        <v>212</v>
      </c>
      <c r="C140" s="15" t="s">
        <v>804</v>
      </c>
      <c r="D140" s="40">
        <v>7</v>
      </c>
      <c r="E140" s="40">
        <v>5</v>
      </c>
      <c r="F140" s="40"/>
      <c r="G140" s="40"/>
      <c r="H140" s="40"/>
      <c r="I140" s="40"/>
      <c r="J140" s="40"/>
      <c r="K140" s="40"/>
      <c r="L140" s="40"/>
      <c r="M140" s="40">
        <v>2</v>
      </c>
      <c r="N140" s="40">
        <v>2</v>
      </c>
      <c r="O140" s="40">
        <v>1</v>
      </c>
      <c r="P140" s="40"/>
      <c r="Q140" s="220"/>
      <c r="R140" s="220"/>
      <c r="S140" s="221"/>
    </row>
    <row r="141" spans="1:19" s="222" customFormat="1" ht="16.5" customHeight="1">
      <c r="A141" s="388"/>
      <c r="B141" s="105" t="s">
        <v>1355</v>
      </c>
      <c r="C141" s="15" t="s">
        <v>1356</v>
      </c>
      <c r="D141" s="40">
        <v>1</v>
      </c>
      <c r="E141" s="40">
        <v>1</v>
      </c>
      <c r="F141" s="40"/>
      <c r="G141" s="40"/>
      <c r="H141" s="40"/>
      <c r="I141" s="40"/>
      <c r="J141" s="40"/>
      <c r="K141" s="40"/>
      <c r="L141" s="40"/>
      <c r="M141" s="40">
        <v>1</v>
      </c>
      <c r="N141" s="40">
        <v>1</v>
      </c>
      <c r="O141" s="40"/>
      <c r="P141" s="40"/>
      <c r="Q141" s="220"/>
      <c r="R141" s="220"/>
      <c r="S141" s="221"/>
    </row>
    <row r="142" spans="1:19" s="222" customFormat="1" ht="16.5" customHeight="1">
      <c r="A142" s="388"/>
      <c r="B142" s="105" t="s">
        <v>742</v>
      </c>
      <c r="C142" s="15" t="s">
        <v>743</v>
      </c>
      <c r="D142" s="40">
        <v>2</v>
      </c>
      <c r="E142" s="40"/>
      <c r="F142" s="40"/>
      <c r="G142" s="40"/>
      <c r="H142" s="40"/>
      <c r="I142" s="40"/>
      <c r="J142" s="40"/>
      <c r="K142" s="40"/>
      <c r="L142" s="40"/>
      <c r="M142" s="40">
        <v>1</v>
      </c>
      <c r="N142" s="40">
        <v>1</v>
      </c>
      <c r="O142" s="40"/>
      <c r="P142" s="40"/>
      <c r="Q142" s="220"/>
      <c r="R142" s="220"/>
      <c r="S142" s="221"/>
    </row>
    <row r="143" spans="1:19" s="222" customFormat="1" ht="16.5" customHeight="1">
      <c r="A143" s="388"/>
      <c r="B143" s="105" t="s">
        <v>1054</v>
      </c>
      <c r="C143" s="15" t="s">
        <v>214</v>
      </c>
      <c r="D143" s="40">
        <v>1</v>
      </c>
      <c r="E143" s="40">
        <v>1</v>
      </c>
      <c r="F143" s="40"/>
      <c r="G143" s="40"/>
      <c r="H143" s="40"/>
      <c r="I143" s="40"/>
      <c r="J143" s="40"/>
      <c r="K143" s="40"/>
      <c r="L143" s="40"/>
      <c r="M143" s="40">
        <v>2</v>
      </c>
      <c r="N143" s="40"/>
      <c r="O143" s="40"/>
      <c r="P143" s="40"/>
      <c r="Q143" s="220"/>
      <c r="R143" s="220"/>
      <c r="S143" s="221"/>
    </row>
    <row r="144" spans="1:19" s="222" customFormat="1" ht="16.5" customHeight="1">
      <c r="A144" s="388"/>
      <c r="B144" s="105" t="s">
        <v>213</v>
      </c>
      <c r="C144" s="15" t="s">
        <v>304</v>
      </c>
      <c r="D144" s="40">
        <v>2</v>
      </c>
      <c r="E144" s="40"/>
      <c r="F144" s="40"/>
      <c r="G144" s="40"/>
      <c r="H144" s="40"/>
      <c r="I144" s="40"/>
      <c r="J144" s="40"/>
      <c r="K144" s="40"/>
      <c r="L144" s="40"/>
      <c r="M144" s="40">
        <v>1</v>
      </c>
      <c r="N144" s="40"/>
      <c r="O144" s="40"/>
      <c r="P144" s="40"/>
      <c r="Q144" s="220"/>
      <c r="R144" s="220"/>
      <c r="S144" s="221"/>
    </row>
    <row r="145" spans="1:19" s="207" customFormat="1" ht="16.5" customHeight="1">
      <c r="A145" s="50"/>
      <c r="B145" s="93" t="s">
        <v>37</v>
      </c>
      <c r="C145" s="94"/>
      <c r="D145" s="60">
        <v>8</v>
      </c>
      <c r="E145" s="60"/>
      <c r="F145" s="60"/>
      <c r="G145" s="60"/>
      <c r="H145" s="60"/>
      <c r="I145" s="60"/>
      <c r="J145" s="60"/>
      <c r="K145" s="60"/>
      <c r="L145" s="60"/>
      <c r="M145" s="60">
        <v>4</v>
      </c>
      <c r="N145" s="60"/>
      <c r="O145" s="60"/>
      <c r="P145" s="60">
        <v>1</v>
      </c>
      <c r="Q145" s="216"/>
      <c r="R145" s="216"/>
      <c r="S145" s="217"/>
    </row>
    <row r="146" spans="1:19" s="222" customFormat="1" ht="16.5" customHeight="1">
      <c r="A146" s="388"/>
      <c r="B146" s="105" t="s">
        <v>1355</v>
      </c>
      <c r="C146" s="15" t="s">
        <v>868</v>
      </c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>
        <v>1</v>
      </c>
      <c r="Q146" s="220"/>
      <c r="R146" s="220"/>
      <c r="S146" s="221"/>
    </row>
    <row r="147" spans="1:19" s="222" customFormat="1" ht="16.5" customHeight="1">
      <c r="A147" s="388"/>
      <c r="B147" s="105" t="s">
        <v>215</v>
      </c>
      <c r="C147" s="15" t="s">
        <v>870</v>
      </c>
      <c r="D147" s="40"/>
      <c r="E147" s="40"/>
      <c r="F147" s="40"/>
      <c r="G147" s="40"/>
      <c r="H147" s="40"/>
      <c r="I147" s="40"/>
      <c r="J147" s="40"/>
      <c r="K147" s="40"/>
      <c r="L147" s="40"/>
      <c r="M147" s="40">
        <v>1</v>
      </c>
      <c r="N147" s="40"/>
      <c r="O147" s="40"/>
      <c r="P147" s="40"/>
      <c r="Q147" s="220"/>
      <c r="R147" s="220"/>
      <c r="S147" s="221"/>
    </row>
    <row r="148" spans="1:19" s="222" customFormat="1" ht="16.5" customHeight="1">
      <c r="A148" s="388"/>
      <c r="B148" s="105" t="s">
        <v>216</v>
      </c>
      <c r="C148" s="15" t="s">
        <v>810</v>
      </c>
      <c r="D148" s="40"/>
      <c r="E148" s="40"/>
      <c r="F148" s="40"/>
      <c r="G148" s="40"/>
      <c r="H148" s="40"/>
      <c r="I148" s="40"/>
      <c r="J148" s="40"/>
      <c r="K148" s="40"/>
      <c r="L148" s="40"/>
      <c r="M148" s="40">
        <v>1</v>
      </c>
      <c r="N148" s="40"/>
      <c r="O148" s="40"/>
      <c r="P148" s="40"/>
      <c r="Q148" s="220"/>
      <c r="R148" s="220"/>
      <c r="S148" s="221"/>
    </row>
    <row r="149" spans="1:19" s="222" customFormat="1" ht="16.5" customHeight="1">
      <c r="A149" s="388"/>
      <c r="B149" s="105" t="s">
        <v>561</v>
      </c>
      <c r="C149" s="15" t="s">
        <v>457</v>
      </c>
      <c r="D149" s="40"/>
      <c r="E149" s="40"/>
      <c r="F149" s="40"/>
      <c r="G149" s="40"/>
      <c r="H149" s="40"/>
      <c r="I149" s="40"/>
      <c r="J149" s="40"/>
      <c r="K149" s="40"/>
      <c r="L149" s="40"/>
      <c r="M149" s="40">
        <v>1</v>
      </c>
      <c r="N149" s="40"/>
      <c r="O149" s="40"/>
      <c r="P149" s="40"/>
      <c r="Q149" s="220"/>
      <c r="R149" s="220"/>
      <c r="S149" s="221"/>
    </row>
    <row r="150" spans="1:19" s="222" customFormat="1" ht="16.5" customHeight="1">
      <c r="A150" s="388"/>
      <c r="B150" s="105" t="s">
        <v>398</v>
      </c>
      <c r="C150" s="15" t="s">
        <v>457</v>
      </c>
      <c r="D150" s="40"/>
      <c r="E150" s="40"/>
      <c r="F150" s="40"/>
      <c r="G150" s="40"/>
      <c r="H150" s="40"/>
      <c r="I150" s="40"/>
      <c r="J150" s="40"/>
      <c r="K150" s="40"/>
      <c r="L150" s="40"/>
      <c r="M150" s="40">
        <v>1</v>
      </c>
      <c r="N150" s="40"/>
      <c r="O150" s="40"/>
      <c r="P150" s="40"/>
      <c r="Q150" s="220"/>
      <c r="R150" s="220"/>
      <c r="S150" s="221"/>
    </row>
    <row r="151" spans="1:19" ht="13.5" customHeight="1">
      <c r="A151" s="400" t="s">
        <v>909</v>
      </c>
      <c r="B151" s="400"/>
      <c r="C151" s="400"/>
      <c r="D151" s="400"/>
      <c r="E151" s="400"/>
      <c r="F151" s="400"/>
      <c r="G151" s="400"/>
      <c r="H151" s="400"/>
      <c r="I151" s="400"/>
      <c r="J151" s="400"/>
      <c r="K151" s="400"/>
      <c r="L151" s="400"/>
      <c r="M151" s="400"/>
      <c r="N151" s="400"/>
      <c r="O151" s="400"/>
      <c r="P151" s="400"/>
      <c r="Q151" s="21"/>
      <c r="R151" s="21"/>
      <c r="S151" s="8"/>
    </row>
    <row r="152" spans="1:188" s="57" customFormat="1" ht="18" customHeight="1">
      <c r="A152" s="13">
        <v>13</v>
      </c>
      <c r="B152" s="92" t="s">
        <v>191</v>
      </c>
      <c r="C152" s="45"/>
      <c r="D152" s="44">
        <v>53</v>
      </c>
      <c r="E152" s="44">
        <v>13</v>
      </c>
      <c r="F152" s="44"/>
      <c r="G152" s="44">
        <v>53</v>
      </c>
      <c r="H152" s="44">
        <v>53</v>
      </c>
      <c r="I152" s="44">
        <v>53</v>
      </c>
      <c r="J152" s="44">
        <v>53</v>
      </c>
      <c r="K152" s="44">
        <v>53</v>
      </c>
      <c r="L152" s="44">
        <v>5</v>
      </c>
      <c r="M152" s="44" t="s">
        <v>556</v>
      </c>
      <c r="N152" s="44">
        <v>1</v>
      </c>
      <c r="O152" s="44" t="s">
        <v>556</v>
      </c>
      <c r="P152" s="44">
        <v>1</v>
      </c>
      <c r="Q152" s="54" t="s">
        <v>649</v>
      </c>
      <c r="R152" s="54">
        <v>16</v>
      </c>
      <c r="S152" s="59" t="s">
        <v>919</v>
      </c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</row>
    <row r="153" spans="1:48" s="18" customFormat="1" ht="17.25" customHeight="1">
      <c r="A153" s="50"/>
      <c r="B153" s="93" t="s">
        <v>669</v>
      </c>
      <c r="C153" s="16"/>
      <c r="D153" s="52"/>
      <c r="E153" s="52"/>
      <c r="F153" s="52"/>
      <c r="G153" s="52"/>
      <c r="H153" s="52"/>
      <c r="I153" s="52"/>
      <c r="J153" s="52"/>
      <c r="K153" s="52"/>
      <c r="L153" s="60">
        <v>4</v>
      </c>
      <c r="M153" s="60" t="s">
        <v>556</v>
      </c>
      <c r="N153" s="60">
        <v>1</v>
      </c>
      <c r="O153" s="60" t="s">
        <v>556</v>
      </c>
      <c r="P153" s="60">
        <v>1</v>
      </c>
      <c r="Q153" s="23"/>
      <c r="R153" s="23"/>
      <c r="S153" s="1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</row>
    <row r="154" spans="1:48" s="27" customFormat="1" ht="17.25" customHeight="1">
      <c r="A154" s="12"/>
      <c r="B154" s="97" t="s">
        <v>560</v>
      </c>
      <c r="C154" s="29" t="s">
        <v>741</v>
      </c>
      <c r="D154" s="51"/>
      <c r="E154" s="51"/>
      <c r="F154" s="51"/>
      <c r="G154" s="51">
        <v>5</v>
      </c>
      <c r="H154" s="51">
        <v>5</v>
      </c>
      <c r="I154" s="51">
        <v>5</v>
      </c>
      <c r="J154" s="51">
        <v>5</v>
      </c>
      <c r="K154" s="51">
        <v>5</v>
      </c>
      <c r="L154" s="40">
        <v>2</v>
      </c>
      <c r="M154" s="40" t="s">
        <v>556</v>
      </c>
      <c r="N154" s="40" t="s">
        <v>556</v>
      </c>
      <c r="O154" s="40" t="s">
        <v>556</v>
      </c>
      <c r="P154" s="40">
        <v>1</v>
      </c>
      <c r="Q154" s="33"/>
      <c r="R154" s="33"/>
      <c r="S154" s="33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</row>
    <row r="155" spans="1:48" s="27" customFormat="1" ht="17.25" customHeight="1">
      <c r="A155" s="12"/>
      <c r="B155" s="97" t="s">
        <v>1049</v>
      </c>
      <c r="C155" s="29" t="s">
        <v>1050</v>
      </c>
      <c r="D155" s="51"/>
      <c r="E155" s="51"/>
      <c r="F155" s="51"/>
      <c r="G155" s="51">
        <v>5</v>
      </c>
      <c r="H155" s="51">
        <v>5</v>
      </c>
      <c r="I155" s="51">
        <v>5</v>
      </c>
      <c r="J155" s="51">
        <v>5</v>
      </c>
      <c r="K155" s="51">
        <v>5</v>
      </c>
      <c r="L155" s="40">
        <v>2</v>
      </c>
      <c r="M155" s="40" t="s">
        <v>556</v>
      </c>
      <c r="N155" s="40">
        <v>1</v>
      </c>
      <c r="O155" s="40" t="s">
        <v>556</v>
      </c>
      <c r="P155" s="40" t="s">
        <v>556</v>
      </c>
      <c r="Q155" s="33"/>
      <c r="R155" s="33"/>
      <c r="S155" s="33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</row>
    <row r="156" spans="1:48" s="18" customFormat="1" ht="16.5" customHeight="1">
      <c r="A156" s="50"/>
      <c r="B156" s="93" t="s">
        <v>37</v>
      </c>
      <c r="C156" s="16"/>
      <c r="D156" s="52"/>
      <c r="E156" s="52"/>
      <c r="F156" s="52"/>
      <c r="G156" s="52"/>
      <c r="H156" s="52"/>
      <c r="I156" s="52"/>
      <c r="J156" s="52"/>
      <c r="K156" s="52"/>
      <c r="L156" s="60">
        <v>1</v>
      </c>
      <c r="M156" s="60" t="s">
        <v>556</v>
      </c>
      <c r="N156" s="60"/>
      <c r="O156" s="60" t="s">
        <v>556</v>
      </c>
      <c r="P156" s="60" t="s">
        <v>556</v>
      </c>
      <c r="Q156" s="23"/>
      <c r="R156" s="23"/>
      <c r="S156" s="1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</row>
    <row r="157" spans="1:48" s="27" customFormat="1" ht="19.5" customHeight="1">
      <c r="A157" s="12"/>
      <c r="B157" s="97" t="s">
        <v>867</v>
      </c>
      <c r="C157" s="15" t="s">
        <v>868</v>
      </c>
      <c r="D157" s="51"/>
      <c r="E157" s="51"/>
      <c r="F157" s="51">
        <v>3</v>
      </c>
      <c r="G157" s="51">
        <v>1</v>
      </c>
      <c r="H157" s="51">
        <v>1</v>
      </c>
      <c r="I157" s="51">
        <v>1</v>
      </c>
      <c r="J157" s="51">
        <v>1</v>
      </c>
      <c r="K157" s="51">
        <v>1</v>
      </c>
      <c r="L157" s="40">
        <v>1</v>
      </c>
      <c r="M157" s="40" t="s">
        <v>556</v>
      </c>
      <c r="N157" s="40" t="s">
        <v>556</v>
      </c>
      <c r="O157" s="40" t="s">
        <v>556</v>
      </c>
      <c r="P157" s="40" t="s">
        <v>556</v>
      </c>
      <c r="Q157" s="30"/>
      <c r="R157" s="30"/>
      <c r="S157" s="30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</row>
    <row r="158" spans="1:188" s="57" customFormat="1" ht="18" customHeight="1">
      <c r="A158" s="13">
        <v>14</v>
      </c>
      <c r="B158" s="92" t="s">
        <v>782</v>
      </c>
      <c r="C158" s="45"/>
      <c r="D158" s="44">
        <v>21</v>
      </c>
      <c r="E158" s="44">
        <v>3</v>
      </c>
      <c r="F158" s="44"/>
      <c r="G158" s="44">
        <v>23</v>
      </c>
      <c r="H158" s="44">
        <v>23</v>
      </c>
      <c r="I158" s="44">
        <v>23</v>
      </c>
      <c r="J158" s="44">
        <v>23</v>
      </c>
      <c r="K158" s="44">
        <v>23</v>
      </c>
      <c r="L158" s="44">
        <f>SUM(L159,L162)</f>
        <v>4</v>
      </c>
      <c r="M158" s="44" t="s">
        <v>556</v>
      </c>
      <c r="N158" s="44" t="s">
        <v>556</v>
      </c>
      <c r="O158" s="44" t="s">
        <v>556</v>
      </c>
      <c r="P158" s="44" t="s">
        <v>556</v>
      </c>
      <c r="Q158" s="54" t="s">
        <v>649</v>
      </c>
      <c r="R158" s="54">
        <v>8</v>
      </c>
      <c r="S158" s="55" t="s">
        <v>914</v>
      </c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56"/>
      <c r="FA158" s="56"/>
      <c r="FB158" s="56"/>
      <c r="FC158" s="56"/>
      <c r="FD158" s="56"/>
      <c r="FE158" s="56"/>
      <c r="FF158" s="56"/>
      <c r="FG158" s="56"/>
      <c r="FH158" s="56"/>
      <c r="FI158" s="56"/>
      <c r="FJ158" s="56"/>
      <c r="FK158" s="56"/>
      <c r="FL158" s="56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</row>
    <row r="159" spans="1:48" s="18" customFormat="1" ht="16.5" customHeight="1">
      <c r="A159" s="50"/>
      <c r="B159" s="93" t="s">
        <v>669</v>
      </c>
      <c r="C159" s="16"/>
      <c r="D159" s="52"/>
      <c r="E159" s="52"/>
      <c r="F159" s="52"/>
      <c r="G159" s="52"/>
      <c r="H159" s="52"/>
      <c r="I159" s="52"/>
      <c r="J159" s="52"/>
      <c r="K159" s="52"/>
      <c r="L159" s="60">
        <f>SUM(L160:L161)</f>
        <v>3</v>
      </c>
      <c r="M159" s="60" t="s">
        <v>556</v>
      </c>
      <c r="N159" s="60" t="s">
        <v>556</v>
      </c>
      <c r="O159" s="60" t="s">
        <v>556</v>
      </c>
      <c r="P159" s="60" t="s">
        <v>556</v>
      </c>
      <c r="Q159" s="23"/>
      <c r="R159" s="23"/>
      <c r="S159" s="1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</row>
    <row r="160" spans="1:48" s="27" customFormat="1" ht="15.75" customHeight="1">
      <c r="A160" s="12"/>
      <c r="B160" s="97" t="s">
        <v>1049</v>
      </c>
      <c r="C160" s="29" t="s">
        <v>1050</v>
      </c>
      <c r="D160" s="51"/>
      <c r="E160" s="51"/>
      <c r="F160" s="51"/>
      <c r="G160" s="51">
        <v>4</v>
      </c>
      <c r="H160" s="51">
        <v>4</v>
      </c>
      <c r="I160" s="51">
        <v>4</v>
      </c>
      <c r="J160" s="51">
        <v>4</v>
      </c>
      <c r="K160" s="51">
        <v>4</v>
      </c>
      <c r="L160" s="40">
        <v>1</v>
      </c>
      <c r="M160" s="40" t="s">
        <v>556</v>
      </c>
      <c r="N160" s="40" t="s">
        <v>556</v>
      </c>
      <c r="O160" s="40" t="s">
        <v>556</v>
      </c>
      <c r="P160" s="40" t="s">
        <v>556</v>
      </c>
      <c r="Q160" s="30"/>
      <c r="R160" s="30"/>
      <c r="S160" s="30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</row>
    <row r="161" spans="1:48" s="27" customFormat="1" ht="15.75" customHeight="1">
      <c r="A161" s="12"/>
      <c r="B161" s="97" t="s">
        <v>594</v>
      </c>
      <c r="C161" s="29" t="s">
        <v>783</v>
      </c>
      <c r="D161" s="51"/>
      <c r="E161" s="51"/>
      <c r="F161" s="51"/>
      <c r="G161" s="51">
        <v>3</v>
      </c>
      <c r="H161" s="51">
        <v>3</v>
      </c>
      <c r="I161" s="51">
        <v>3</v>
      </c>
      <c r="J161" s="51">
        <v>3</v>
      </c>
      <c r="K161" s="51">
        <v>3</v>
      </c>
      <c r="L161" s="40">
        <v>2</v>
      </c>
      <c r="M161" s="40" t="s">
        <v>556</v>
      </c>
      <c r="N161" s="40" t="s">
        <v>556</v>
      </c>
      <c r="O161" s="40" t="s">
        <v>556</v>
      </c>
      <c r="P161" s="40" t="s">
        <v>556</v>
      </c>
      <c r="Q161" s="30"/>
      <c r="R161" s="30"/>
      <c r="S161" s="30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</row>
    <row r="162" spans="1:48" s="18" customFormat="1" ht="16.5" customHeight="1">
      <c r="A162" s="50"/>
      <c r="B162" s="93" t="s">
        <v>1336</v>
      </c>
      <c r="C162" s="16"/>
      <c r="D162" s="52"/>
      <c r="E162" s="52"/>
      <c r="F162" s="52"/>
      <c r="G162" s="52"/>
      <c r="H162" s="52"/>
      <c r="I162" s="52"/>
      <c r="J162" s="52"/>
      <c r="K162" s="52"/>
      <c r="L162" s="60">
        <v>1</v>
      </c>
      <c r="M162" s="60" t="s">
        <v>556</v>
      </c>
      <c r="N162" s="60"/>
      <c r="O162" s="60" t="s">
        <v>556</v>
      </c>
      <c r="P162" s="60" t="s">
        <v>556</v>
      </c>
      <c r="Q162" s="23"/>
      <c r="R162" s="23"/>
      <c r="S162" s="1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</row>
    <row r="163" spans="1:48" s="27" customFormat="1" ht="19.5" customHeight="1">
      <c r="A163" s="12"/>
      <c r="B163" s="97" t="s">
        <v>807</v>
      </c>
      <c r="C163" s="15" t="s">
        <v>810</v>
      </c>
      <c r="D163" s="51"/>
      <c r="E163" s="51"/>
      <c r="F163" s="51"/>
      <c r="G163" s="51">
        <v>1</v>
      </c>
      <c r="H163" s="51">
        <v>1</v>
      </c>
      <c r="I163" s="51">
        <v>1</v>
      </c>
      <c r="J163" s="51">
        <v>1</v>
      </c>
      <c r="K163" s="51">
        <v>1</v>
      </c>
      <c r="L163" s="40">
        <v>1</v>
      </c>
      <c r="M163" s="40" t="s">
        <v>556</v>
      </c>
      <c r="N163" s="40" t="s">
        <v>556</v>
      </c>
      <c r="O163" s="40" t="s">
        <v>556</v>
      </c>
      <c r="P163" s="40" t="s">
        <v>556</v>
      </c>
      <c r="Q163" s="30"/>
      <c r="R163" s="30"/>
      <c r="S163" s="30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</row>
    <row r="164" spans="1:188" s="57" customFormat="1" ht="18" customHeight="1">
      <c r="A164" s="13">
        <v>15</v>
      </c>
      <c r="B164" s="92" t="s">
        <v>160</v>
      </c>
      <c r="C164" s="45"/>
      <c r="D164" s="44">
        <v>58</v>
      </c>
      <c r="E164" s="44">
        <v>7</v>
      </c>
      <c r="F164" s="44"/>
      <c r="G164" s="44">
        <v>63</v>
      </c>
      <c r="H164" s="44">
        <v>63</v>
      </c>
      <c r="I164" s="44">
        <v>63</v>
      </c>
      <c r="J164" s="44">
        <v>63</v>
      </c>
      <c r="K164" s="44">
        <v>63</v>
      </c>
      <c r="L164" s="44">
        <v>5</v>
      </c>
      <c r="M164" s="44">
        <v>3</v>
      </c>
      <c r="N164" s="44">
        <v>4</v>
      </c>
      <c r="O164" s="44" t="s">
        <v>556</v>
      </c>
      <c r="P164" s="44" t="s">
        <v>556</v>
      </c>
      <c r="Q164" s="54" t="s">
        <v>649</v>
      </c>
      <c r="R164" s="54">
        <v>8</v>
      </c>
      <c r="S164" s="55" t="s">
        <v>920</v>
      </c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56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</row>
    <row r="165" spans="1:48" s="18" customFormat="1" ht="17.25" customHeight="1">
      <c r="A165" s="50"/>
      <c r="B165" s="93" t="s">
        <v>669</v>
      </c>
      <c r="C165" s="16"/>
      <c r="D165" s="52"/>
      <c r="E165" s="52"/>
      <c r="F165" s="52"/>
      <c r="G165" s="52"/>
      <c r="H165" s="52"/>
      <c r="I165" s="52"/>
      <c r="J165" s="52"/>
      <c r="K165" s="52"/>
      <c r="L165" s="60">
        <f>SUM(L166:L168)</f>
        <v>4</v>
      </c>
      <c r="M165" s="60">
        <f>SUM(M166:M168)</f>
        <v>1</v>
      </c>
      <c r="N165" s="60">
        <f>SUM(N166:N168)</f>
        <v>1</v>
      </c>
      <c r="O165" s="60" t="s">
        <v>556</v>
      </c>
      <c r="P165" s="60" t="s">
        <v>556</v>
      </c>
      <c r="Q165" s="23"/>
      <c r="R165" s="23"/>
      <c r="S165" s="1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</row>
    <row r="166" spans="1:48" s="27" customFormat="1" ht="15.75" customHeight="1">
      <c r="A166" s="12"/>
      <c r="B166" s="97" t="s">
        <v>1047</v>
      </c>
      <c r="C166" s="29" t="s">
        <v>1048</v>
      </c>
      <c r="D166" s="51"/>
      <c r="E166" s="51"/>
      <c r="F166" s="51"/>
      <c r="G166" s="51">
        <v>14</v>
      </c>
      <c r="H166" s="51">
        <v>14</v>
      </c>
      <c r="I166" s="51">
        <v>14</v>
      </c>
      <c r="J166" s="51">
        <v>14</v>
      </c>
      <c r="K166" s="51">
        <v>14</v>
      </c>
      <c r="L166" s="40">
        <v>1</v>
      </c>
      <c r="M166" s="40" t="s">
        <v>556</v>
      </c>
      <c r="N166" s="40">
        <v>1</v>
      </c>
      <c r="O166" s="40" t="s">
        <v>556</v>
      </c>
      <c r="P166" s="40" t="s">
        <v>556</v>
      </c>
      <c r="Q166" s="30"/>
      <c r="R166" s="30"/>
      <c r="S166" s="30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</row>
    <row r="167" spans="1:48" s="27" customFormat="1" ht="15.75" customHeight="1">
      <c r="A167" s="12"/>
      <c r="B167" s="97" t="s">
        <v>1049</v>
      </c>
      <c r="C167" s="29" t="s">
        <v>1050</v>
      </c>
      <c r="D167" s="51"/>
      <c r="E167" s="51"/>
      <c r="F167" s="51"/>
      <c r="G167" s="51">
        <v>15</v>
      </c>
      <c r="H167" s="51">
        <v>15</v>
      </c>
      <c r="I167" s="51">
        <v>15</v>
      </c>
      <c r="J167" s="51">
        <v>15</v>
      </c>
      <c r="K167" s="51">
        <v>15</v>
      </c>
      <c r="L167" s="40">
        <v>3</v>
      </c>
      <c r="M167" s="40" t="s">
        <v>556</v>
      </c>
      <c r="N167" s="40" t="s">
        <v>556</v>
      </c>
      <c r="O167" s="40" t="s">
        <v>556</v>
      </c>
      <c r="P167" s="40" t="s">
        <v>556</v>
      </c>
      <c r="Q167" s="30"/>
      <c r="R167" s="30"/>
      <c r="S167" s="30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</row>
    <row r="168" spans="1:48" s="27" customFormat="1" ht="15.75" customHeight="1">
      <c r="A168" s="12"/>
      <c r="B168" s="97" t="s">
        <v>1316</v>
      </c>
      <c r="C168" s="29" t="s">
        <v>1317</v>
      </c>
      <c r="D168" s="51"/>
      <c r="E168" s="51"/>
      <c r="F168" s="51"/>
      <c r="G168" s="51">
        <v>1</v>
      </c>
      <c r="H168" s="51">
        <v>1</v>
      </c>
      <c r="I168" s="51">
        <v>1</v>
      </c>
      <c r="J168" s="51">
        <v>1</v>
      </c>
      <c r="K168" s="51">
        <v>1</v>
      </c>
      <c r="L168" s="40" t="s">
        <v>556</v>
      </c>
      <c r="M168" s="40">
        <v>1</v>
      </c>
      <c r="N168" s="40" t="s">
        <v>556</v>
      </c>
      <c r="O168" s="40" t="s">
        <v>556</v>
      </c>
      <c r="P168" s="40" t="s">
        <v>556</v>
      </c>
      <c r="Q168" s="30"/>
      <c r="R168" s="30"/>
      <c r="S168" s="30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</row>
    <row r="169" spans="1:48" s="18" customFormat="1" ht="17.25" customHeight="1">
      <c r="A169" s="50"/>
      <c r="B169" s="93" t="s">
        <v>670</v>
      </c>
      <c r="C169" s="16"/>
      <c r="D169" s="52"/>
      <c r="E169" s="52"/>
      <c r="F169" s="52"/>
      <c r="G169" s="52"/>
      <c r="H169" s="52"/>
      <c r="I169" s="52"/>
      <c r="J169" s="52"/>
      <c r="K169" s="52"/>
      <c r="L169" s="60">
        <v>1</v>
      </c>
      <c r="M169" s="60">
        <v>1</v>
      </c>
      <c r="N169" s="60">
        <v>2</v>
      </c>
      <c r="O169" s="60" t="s">
        <v>556</v>
      </c>
      <c r="P169" s="60" t="s">
        <v>556</v>
      </c>
      <c r="Q169" s="23"/>
      <c r="R169" s="23"/>
      <c r="S169" s="1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</row>
    <row r="170" spans="1:48" s="27" customFormat="1" ht="18.75" customHeight="1">
      <c r="A170" s="12"/>
      <c r="B170" s="97" t="s">
        <v>561</v>
      </c>
      <c r="C170" s="29" t="s">
        <v>1053</v>
      </c>
      <c r="D170" s="51"/>
      <c r="E170" s="51"/>
      <c r="F170" s="51"/>
      <c r="G170" s="51">
        <v>3</v>
      </c>
      <c r="H170" s="51">
        <v>3</v>
      </c>
      <c r="I170" s="51">
        <v>3</v>
      </c>
      <c r="J170" s="51">
        <v>3</v>
      </c>
      <c r="K170" s="51">
        <v>3</v>
      </c>
      <c r="L170" s="40" t="s">
        <v>556</v>
      </c>
      <c r="M170" s="40" t="s">
        <v>556</v>
      </c>
      <c r="N170" s="40">
        <v>1</v>
      </c>
      <c r="O170" s="40" t="s">
        <v>556</v>
      </c>
      <c r="P170" s="40" t="s">
        <v>556</v>
      </c>
      <c r="Q170" s="33"/>
      <c r="R170" s="33"/>
      <c r="S170" s="33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</row>
    <row r="171" spans="1:48" s="27" customFormat="1" ht="18.75" customHeight="1">
      <c r="A171" s="12"/>
      <c r="B171" s="97" t="s">
        <v>1054</v>
      </c>
      <c r="C171" s="15" t="s">
        <v>1055</v>
      </c>
      <c r="D171" s="51"/>
      <c r="E171" s="51"/>
      <c r="F171" s="51"/>
      <c r="G171" s="51">
        <v>5</v>
      </c>
      <c r="H171" s="51">
        <v>5</v>
      </c>
      <c r="I171" s="51">
        <v>5</v>
      </c>
      <c r="J171" s="51">
        <v>5</v>
      </c>
      <c r="K171" s="51">
        <v>5</v>
      </c>
      <c r="L171" s="40">
        <v>1</v>
      </c>
      <c r="M171" s="40">
        <v>1</v>
      </c>
      <c r="N171" s="40" t="s">
        <v>556</v>
      </c>
      <c r="O171" s="40" t="s">
        <v>556</v>
      </c>
      <c r="P171" s="40" t="s">
        <v>556</v>
      </c>
      <c r="Q171" s="33"/>
      <c r="R171" s="33"/>
      <c r="S171" s="33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</row>
    <row r="172" spans="1:48" s="27" customFormat="1" ht="18.75" customHeight="1">
      <c r="A172" s="12"/>
      <c r="B172" s="97" t="s">
        <v>744</v>
      </c>
      <c r="C172" s="15" t="s">
        <v>745</v>
      </c>
      <c r="D172" s="51"/>
      <c r="E172" s="51"/>
      <c r="F172" s="51"/>
      <c r="G172" s="51">
        <v>1</v>
      </c>
      <c r="H172" s="51">
        <v>1</v>
      </c>
      <c r="I172" s="51">
        <v>1</v>
      </c>
      <c r="J172" s="51">
        <v>1</v>
      </c>
      <c r="K172" s="51">
        <v>1</v>
      </c>
      <c r="L172" s="40" t="s">
        <v>556</v>
      </c>
      <c r="M172" s="40" t="s">
        <v>556</v>
      </c>
      <c r="N172" s="40">
        <v>1</v>
      </c>
      <c r="O172" s="40" t="s">
        <v>556</v>
      </c>
      <c r="P172" s="40" t="s">
        <v>556</v>
      </c>
      <c r="Q172" s="33"/>
      <c r="R172" s="33"/>
      <c r="S172" s="33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</row>
    <row r="173" spans="1:48" s="18" customFormat="1" ht="18" customHeight="1">
      <c r="A173" s="50"/>
      <c r="B173" s="93" t="s">
        <v>37</v>
      </c>
      <c r="C173" s="16"/>
      <c r="D173" s="52"/>
      <c r="E173" s="52"/>
      <c r="F173" s="52"/>
      <c r="G173" s="52"/>
      <c r="H173" s="52"/>
      <c r="I173" s="52"/>
      <c r="J173" s="52"/>
      <c r="K173" s="52"/>
      <c r="L173" s="60" t="s">
        <v>556</v>
      </c>
      <c r="M173" s="60">
        <v>1</v>
      </c>
      <c r="N173" s="60">
        <v>1</v>
      </c>
      <c r="O173" s="60" t="s">
        <v>556</v>
      </c>
      <c r="P173" s="60" t="s">
        <v>556</v>
      </c>
      <c r="Q173" s="23"/>
      <c r="R173" s="23"/>
      <c r="S173" s="1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</row>
    <row r="174" spans="1:48" s="27" customFormat="1" ht="18.75" customHeight="1">
      <c r="A174" s="12"/>
      <c r="B174" s="97" t="s">
        <v>869</v>
      </c>
      <c r="C174" s="15" t="s">
        <v>870</v>
      </c>
      <c r="D174" s="51"/>
      <c r="E174" s="51"/>
      <c r="F174" s="51">
        <v>1</v>
      </c>
      <c r="G174" s="51">
        <v>3</v>
      </c>
      <c r="H174" s="51">
        <v>3</v>
      </c>
      <c r="I174" s="51">
        <v>3</v>
      </c>
      <c r="J174" s="51">
        <v>3</v>
      </c>
      <c r="K174" s="51">
        <v>3</v>
      </c>
      <c r="L174" s="40" t="s">
        <v>556</v>
      </c>
      <c r="M174" s="40">
        <v>1</v>
      </c>
      <c r="N174" s="40">
        <v>1</v>
      </c>
      <c r="O174" s="40" t="s">
        <v>556</v>
      </c>
      <c r="P174" s="40" t="s">
        <v>556</v>
      </c>
      <c r="Q174" s="33"/>
      <c r="R174" s="33"/>
      <c r="S174" s="33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</row>
    <row r="175" spans="1:188" s="57" customFormat="1" ht="17.25" customHeight="1">
      <c r="A175" s="13">
        <v>16</v>
      </c>
      <c r="B175" s="92" t="s">
        <v>161</v>
      </c>
      <c r="C175" s="45"/>
      <c r="D175" s="44">
        <v>10</v>
      </c>
      <c r="E175" s="44">
        <v>1</v>
      </c>
      <c r="F175" s="44">
        <v>10</v>
      </c>
      <c r="G175" s="44">
        <v>10</v>
      </c>
      <c r="H175" s="44">
        <v>10</v>
      </c>
      <c r="I175" s="44">
        <v>10</v>
      </c>
      <c r="J175" s="44"/>
      <c r="K175" s="44">
        <v>10</v>
      </c>
      <c r="L175" s="44">
        <f>L176</f>
        <v>5</v>
      </c>
      <c r="M175" s="44">
        <f>M176</f>
        <v>5</v>
      </c>
      <c r="N175" s="44">
        <f>N176</f>
        <v>5</v>
      </c>
      <c r="O175" s="44">
        <f>O176</f>
        <v>5</v>
      </c>
      <c r="P175" s="44">
        <f>P176</f>
        <v>5</v>
      </c>
      <c r="Q175" s="123">
        <f>SUM(Q176,Q217)</f>
        <v>0</v>
      </c>
      <c r="R175" s="44">
        <f>SUM(R176,R217)</f>
        <v>0</v>
      </c>
      <c r="S175" s="44">
        <f>SUM(S176,S217)</f>
        <v>0</v>
      </c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56"/>
      <c r="FA175" s="56"/>
      <c r="FB175" s="56"/>
      <c r="FC175" s="56"/>
      <c r="FD175" s="56"/>
      <c r="FE175" s="56"/>
      <c r="FF175" s="56"/>
      <c r="FG175" s="56"/>
      <c r="FH175" s="56"/>
      <c r="FI175" s="56"/>
      <c r="FJ175" s="56"/>
      <c r="FK175" s="56"/>
      <c r="FL175" s="56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/>
      <c r="FZ175" s="56"/>
      <c r="GA175" s="56"/>
      <c r="GB175" s="56"/>
      <c r="GC175" s="56"/>
      <c r="GD175" s="56"/>
      <c r="GE175" s="56"/>
      <c r="GF175" s="56"/>
    </row>
    <row r="176" spans="1:48" s="18" customFormat="1" ht="18" customHeight="1">
      <c r="A176" s="50"/>
      <c r="B176" s="93" t="s">
        <v>669</v>
      </c>
      <c r="C176" s="16"/>
      <c r="D176" s="52"/>
      <c r="E176" s="52"/>
      <c r="F176" s="52"/>
      <c r="G176" s="52"/>
      <c r="H176" s="52"/>
      <c r="I176" s="52"/>
      <c r="J176" s="52"/>
      <c r="K176" s="52"/>
      <c r="L176" s="60">
        <f>SUM(L177:L178)</f>
        <v>5</v>
      </c>
      <c r="M176" s="60">
        <f>SUM(M177:M178)</f>
        <v>5</v>
      </c>
      <c r="N176" s="60">
        <f>SUM(N177:N178)</f>
        <v>5</v>
      </c>
      <c r="O176" s="60">
        <f>SUM(O177:O178)</f>
        <v>5</v>
      </c>
      <c r="P176" s="60">
        <f>SUM(P177:P178)</f>
        <v>5</v>
      </c>
      <c r="Q176" s="23"/>
      <c r="R176" s="23"/>
      <c r="S176" s="1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</row>
    <row r="177" spans="1:48" s="81" customFormat="1" ht="17.25" customHeight="1">
      <c r="A177" s="12"/>
      <c r="B177" s="97" t="s">
        <v>560</v>
      </c>
      <c r="C177" s="29" t="s">
        <v>741</v>
      </c>
      <c r="D177" s="51"/>
      <c r="E177" s="51"/>
      <c r="F177" s="51">
        <v>4</v>
      </c>
      <c r="G177" s="51">
        <v>4</v>
      </c>
      <c r="H177" s="51">
        <v>6</v>
      </c>
      <c r="I177" s="51">
        <v>6</v>
      </c>
      <c r="J177" s="51"/>
      <c r="K177" s="51">
        <v>6</v>
      </c>
      <c r="L177" s="40">
        <v>1</v>
      </c>
      <c r="M177" s="40">
        <v>1</v>
      </c>
      <c r="N177" s="40">
        <v>1</v>
      </c>
      <c r="O177" s="40">
        <v>2</v>
      </c>
      <c r="P177" s="40">
        <v>2</v>
      </c>
      <c r="Q177" s="30"/>
      <c r="R177" s="30"/>
      <c r="S177" s="79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</row>
    <row r="178" spans="1:48" s="18" customFormat="1" ht="16.5" customHeight="1">
      <c r="A178" s="50"/>
      <c r="B178" s="97" t="s">
        <v>594</v>
      </c>
      <c r="C178" s="29" t="s">
        <v>783</v>
      </c>
      <c r="D178" s="51"/>
      <c r="E178" s="51"/>
      <c r="F178" s="51">
        <v>9</v>
      </c>
      <c r="G178" s="51">
        <v>8</v>
      </c>
      <c r="H178" s="51">
        <v>8</v>
      </c>
      <c r="I178" s="51">
        <v>8</v>
      </c>
      <c r="J178" s="51"/>
      <c r="K178" s="51">
        <v>8</v>
      </c>
      <c r="L178" s="40">
        <v>4</v>
      </c>
      <c r="M178" s="40">
        <v>4</v>
      </c>
      <c r="N178" s="40">
        <v>4</v>
      </c>
      <c r="O178" s="40">
        <v>3</v>
      </c>
      <c r="P178" s="40">
        <v>3</v>
      </c>
      <c r="Q178" s="77"/>
      <c r="R178" s="77"/>
      <c r="S178" s="78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</row>
    <row r="179" spans="1:188" s="57" customFormat="1" ht="17.25" customHeight="1">
      <c r="A179" s="13">
        <v>17</v>
      </c>
      <c r="B179" s="92" t="s">
        <v>583</v>
      </c>
      <c r="C179" s="45"/>
      <c r="D179" s="44"/>
      <c r="E179" s="44"/>
      <c r="F179" s="44">
        <v>10</v>
      </c>
      <c r="G179" s="44">
        <v>10</v>
      </c>
      <c r="H179" s="44">
        <v>10</v>
      </c>
      <c r="I179" s="44">
        <v>10</v>
      </c>
      <c r="J179" s="44"/>
      <c r="K179" s="44">
        <v>10</v>
      </c>
      <c r="L179" s="44">
        <f>L180</f>
        <v>5</v>
      </c>
      <c r="M179" s="44">
        <f>M180</f>
        <v>5</v>
      </c>
      <c r="N179" s="44">
        <f>N180</f>
        <v>5</v>
      </c>
      <c r="O179" s="44">
        <f>O180</f>
        <v>5</v>
      </c>
      <c r="P179" s="44">
        <f>P180</f>
        <v>5</v>
      </c>
      <c r="Q179" s="123">
        <f>SUM(Q180,Q221)</f>
        <v>0</v>
      </c>
      <c r="R179" s="44">
        <f>SUM(R180,R221)</f>
        <v>0</v>
      </c>
      <c r="S179" s="44">
        <f>SUM(S180,S221)</f>
        <v>0</v>
      </c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DT179" s="56"/>
      <c r="DU179" s="56"/>
      <c r="DV179" s="56"/>
      <c r="DW179" s="56"/>
      <c r="DX179" s="56"/>
      <c r="DY179" s="56"/>
      <c r="DZ179" s="56"/>
      <c r="EA179" s="56"/>
      <c r="EB179" s="56"/>
      <c r="EC179" s="56"/>
      <c r="ED179" s="56"/>
      <c r="EE179" s="56"/>
      <c r="EF179" s="56"/>
      <c r="EG179" s="56"/>
      <c r="EH179" s="56"/>
      <c r="EI179" s="56"/>
      <c r="EJ179" s="56"/>
      <c r="EK179" s="56"/>
      <c r="EL179" s="56"/>
      <c r="EM179" s="56"/>
      <c r="EN179" s="56"/>
      <c r="EO179" s="56"/>
      <c r="EP179" s="56"/>
      <c r="EQ179" s="56"/>
      <c r="ER179" s="56"/>
      <c r="ES179" s="56"/>
      <c r="ET179" s="56"/>
      <c r="EU179" s="56"/>
      <c r="EV179" s="56"/>
      <c r="EW179" s="56"/>
      <c r="EX179" s="56"/>
      <c r="EY179" s="56"/>
      <c r="EZ179" s="56"/>
      <c r="FA179" s="56"/>
      <c r="FB179" s="56"/>
      <c r="FC179" s="56"/>
      <c r="FD179" s="56"/>
      <c r="FE179" s="56"/>
      <c r="FF179" s="56"/>
      <c r="FG179" s="56"/>
      <c r="FH179" s="56"/>
      <c r="FI179" s="56"/>
      <c r="FJ179" s="56"/>
      <c r="FK179" s="56"/>
      <c r="FL179" s="56"/>
      <c r="FM179" s="56"/>
      <c r="FN179" s="56"/>
      <c r="FO179" s="56"/>
      <c r="FP179" s="56"/>
      <c r="FQ179" s="56"/>
      <c r="FR179" s="56"/>
      <c r="FS179" s="56"/>
      <c r="FT179" s="56"/>
      <c r="FU179" s="56"/>
      <c r="FV179" s="56"/>
      <c r="FW179" s="56"/>
      <c r="FX179" s="56"/>
      <c r="FY179" s="56"/>
      <c r="FZ179" s="56"/>
      <c r="GA179" s="56"/>
      <c r="GB179" s="56"/>
      <c r="GC179" s="56"/>
      <c r="GD179" s="56"/>
      <c r="GE179" s="56"/>
      <c r="GF179" s="56"/>
    </row>
    <row r="180" spans="1:48" s="18" customFormat="1" ht="18" customHeight="1">
      <c r="A180" s="50"/>
      <c r="B180" s="93" t="s">
        <v>669</v>
      </c>
      <c r="C180" s="16"/>
      <c r="D180" s="52"/>
      <c r="E180" s="52"/>
      <c r="F180" s="52"/>
      <c r="G180" s="52"/>
      <c r="H180" s="52"/>
      <c r="I180" s="52"/>
      <c r="J180" s="52"/>
      <c r="K180" s="52"/>
      <c r="L180" s="60">
        <f>SUM(L181:L182)</f>
        <v>5</v>
      </c>
      <c r="M180" s="60">
        <f>SUM(M181:M182)</f>
        <v>5</v>
      </c>
      <c r="N180" s="60">
        <f>SUM(N181:N182)</f>
        <v>5</v>
      </c>
      <c r="O180" s="60">
        <f>SUM(O181:O182)</f>
        <v>5</v>
      </c>
      <c r="P180" s="60">
        <f>SUM(P181:P182)</f>
        <v>5</v>
      </c>
      <c r="Q180" s="23"/>
      <c r="R180" s="23"/>
      <c r="S180" s="1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</row>
    <row r="181" spans="1:48" s="81" customFormat="1" ht="17.25" customHeight="1">
      <c r="A181" s="12"/>
      <c r="B181" s="97" t="s">
        <v>560</v>
      </c>
      <c r="C181" s="29" t="s">
        <v>741</v>
      </c>
      <c r="D181" s="51"/>
      <c r="E181" s="51"/>
      <c r="F181" s="51">
        <v>4</v>
      </c>
      <c r="G181" s="51">
        <v>4</v>
      </c>
      <c r="H181" s="51">
        <v>6</v>
      </c>
      <c r="I181" s="51">
        <v>6</v>
      </c>
      <c r="J181" s="51"/>
      <c r="K181" s="51">
        <v>6</v>
      </c>
      <c r="L181" s="40">
        <v>2</v>
      </c>
      <c r="M181" s="40" t="s">
        <v>556</v>
      </c>
      <c r="N181" s="40">
        <v>2</v>
      </c>
      <c r="O181" s="40">
        <v>1</v>
      </c>
      <c r="P181" s="40">
        <v>1</v>
      </c>
      <c r="Q181" s="30"/>
      <c r="R181" s="30"/>
      <c r="S181" s="79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</row>
    <row r="182" spans="1:48" s="18" customFormat="1" ht="16.5" customHeight="1">
      <c r="A182" s="50"/>
      <c r="B182" s="97" t="s">
        <v>594</v>
      </c>
      <c r="C182" s="29" t="s">
        <v>783</v>
      </c>
      <c r="D182" s="51"/>
      <c r="E182" s="51"/>
      <c r="F182" s="51">
        <v>9</v>
      </c>
      <c r="G182" s="51">
        <v>8</v>
      </c>
      <c r="H182" s="51">
        <v>8</v>
      </c>
      <c r="I182" s="51">
        <v>8</v>
      </c>
      <c r="J182" s="51"/>
      <c r="K182" s="51">
        <v>8</v>
      </c>
      <c r="L182" s="40">
        <v>3</v>
      </c>
      <c r="M182" s="40">
        <v>5</v>
      </c>
      <c r="N182" s="40">
        <v>3</v>
      </c>
      <c r="O182" s="40">
        <v>4</v>
      </c>
      <c r="P182" s="40">
        <v>4</v>
      </c>
      <c r="Q182" s="77"/>
      <c r="R182" s="77"/>
      <c r="S182" s="78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</row>
    <row r="183" spans="1:188" s="57" customFormat="1" ht="17.25" customHeight="1">
      <c r="A183" s="13">
        <v>18</v>
      </c>
      <c r="B183" s="92" t="s">
        <v>584</v>
      </c>
      <c r="C183" s="45"/>
      <c r="D183" s="44"/>
      <c r="E183" s="44"/>
      <c r="F183" s="44">
        <v>10</v>
      </c>
      <c r="G183" s="44">
        <v>10</v>
      </c>
      <c r="H183" s="44">
        <v>10</v>
      </c>
      <c r="I183" s="44">
        <v>10</v>
      </c>
      <c r="J183" s="44"/>
      <c r="K183" s="44">
        <v>10</v>
      </c>
      <c r="L183" s="44">
        <f>L184</f>
        <v>3</v>
      </c>
      <c r="M183" s="44">
        <f>M184</f>
        <v>3</v>
      </c>
      <c r="N183" s="44">
        <f>N184</f>
        <v>3</v>
      </c>
      <c r="O183" s="44">
        <f>O184</f>
        <v>3</v>
      </c>
      <c r="P183" s="44">
        <f>P184</f>
        <v>3</v>
      </c>
      <c r="Q183" s="123" t="e">
        <f>SUM(Q184,#REF!)</f>
        <v>#REF!</v>
      </c>
      <c r="R183" s="44" t="e">
        <f>SUM(R184,#REF!)</f>
        <v>#REF!</v>
      </c>
      <c r="S183" s="44" t="e">
        <f>SUM(S184,#REF!)</f>
        <v>#REF!</v>
      </c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DT183" s="56"/>
      <c r="DU183" s="56"/>
      <c r="DV183" s="56"/>
      <c r="DW183" s="56"/>
      <c r="DX183" s="56"/>
      <c r="DY183" s="56"/>
      <c r="DZ183" s="56"/>
      <c r="EA183" s="56"/>
      <c r="EB183" s="56"/>
      <c r="EC183" s="56"/>
      <c r="ED183" s="56"/>
      <c r="EE183" s="56"/>
      <c r="EF183" s="56"/>
      <c r="EG183" s="56"/>
      <c r="EH183" s="56"/>
      <c r="EI183" s="56"/>
      <c r="EJ183" s="56"/>
      <c r="EK183" s="56"/>
      <c r="EL183" s="56"/>
      <c r="EM183" s="56"/>
      <c r="EN183" s="56"/>
      <c r="EO183" s="56"/>
      <c r="EP183" s="56"/>
      <c r="EQ183" s="56"/>
      <c r="ER183" s="56"/>
      <c r="ES183" s="56"/>
      <c r="ET183" s="56"/>
      <c r="EU183" s="56"/>
      <c r="EV183" s="56"/>
      <c r="EW183" s="56"/>
      <c r="EX183" s="56"/>
      <c r="EY183" s="56"/>
      <c r="EZ183" s="56"/>
      <c r="FA183" s="56"/>
      <c r="FB183" s="56"/>
      <c r="FC183" s="56"/>
      <c r="FD183" s="56"/>
      <c r="FE183" s="56"/>
      <c r="FF183" s="56"/>
      <c r="FG183" s="56"/>
      <c r="FH183" s="56"/>
      <c r="FI183" s="56"/>
      <c r="FJ183" s="56"/>
      <c r="FK183" s="56"/>
      <c r="FL183" s="56"/>
      <c r="FM183" s="56"/>
      <c r="FN183" s="56"/>
      <c r="FO183" s="56"/>
      <c r="FP183" s="56"/>
      <c r="FQ183" s="56"/>
      <c r="FR183" s="56"/>
      <c r="FS183" s="56"/>
      <c r="FT183" s="56"/>
      <c r="FU183" s="56"/>
      <c r="FV183" s="56"/>
      <c r="FW183" s="56"/>
      <c r="FX183" s="56"/>
      <c r="FY183" s="56"/>
      <c r="FZ183" s="56"/>
      <c r="GA183" s="56"/>
      <c r="GB183" s="56"/>
      <c r="GC183" s="56"/>
      <c r="GD183" s="56"/>
      <c r="GE183" s="56"/>
      <c r="GF183" s="56"/>
    </row>
    <row r="184" spans="1:48" s="18" customFormat="1" ht="18" customHeight="1">
      <c r="A184" s="50"/>
      <c r="B184" s="93" t="s">
        <v>669</v>
      </c>
      <c r="C184" s="16"/>
      <c r="D184" s="52"/>
      <c r="E184" s="52"/>
      <c r="F184" s="52"/>
      <c r="G184" s="52"/>
      <c r="H184" s="52"/>
      <c r="I184" s="52"/>
      <c r="J184" s="52"/>
      <c r="K184" s="52"/>
      <c r="L184" s="60">
        <f>SUM(L185:L186)</f>
        <v>3</v>
      </c>
      <c r="M184" s="60">
        <f>SUM(M185:M186)</f>
        <v>3</v>
      </c>
      <c r="N184" s="60">
        <f>SUM(N185:N186)</f>
        <v>3</v>
      </c>
      <c r="O184" s="60">
        <f>SUM(O185:O186)</f>
        <v>3</v>
      </c>
      <c r="P184" s="60">
        <f>SUM(P185:P186)</f>
        <v>3</v>
      </c>
      <c r="Q184" s="23"/>
      <c r="R184" s="23"/>
      <c r="S184" s="1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</row>
    <row r="185" spans="1:48" s="81" customFormat="1" ht="17.25" customHeight="1">
      <c r="A185" s="12"/>
      <c r="B185" s="97" t="s">
        <v>560</v>
      </c>
      <c r="C185" s="29" t="s">
        <v>741</v>
      </c>
      <c r="D185" s="51"/>
      <c r="E185" s="51"/>
      <c r="F185" s="51">
        <v>4</v>
      </c>
      <c r="G185" s="51">
        <v>4</v>
      </c>
      <c r="H185" s="51">
        <v>6</v>
      </c>
      <c r="I185" s="51">
        <v>6</v>
      </c>
      <c r="J185" s="51"/>
      <c r="K185" s="51">
        <v>6</v>
      </c>
      <c r="L185" s="40">
        <v>1</v>
      </c>
      <c r="M185" s="40">
        <v>1</v>
      </c>
      <c r="N185" s="40">
        <v>1</v>
      </c>
      <c r="O185" s="40">
        <v>1</v>
      </c>
      <c r="P185" s="40">
        <v>1</v>
      </c>
      <c r="Q185" s="30"/>
      <c r="R185" s="30"/>
      <c r="S185" s="79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</row>
    <row r="186" spans="1:48" s="18" customFormat="1" ht="16.5" customHeight="1">
      <c r="A186" s="50"/>
      <c r="B186" s="97" t="s">
        <v>594</v>
      </c>
      <c r="C186" s="29" t="s">
        <v>783</v>
      </c>
      <c r="D186" s="51"/>
      <c r="E186" s="51"/>
      <c r="F186" s="51">
        <v>9</v>
      </c>
      <c r="G186" s="51">
        <v>8</v>
      </c>
      <c r="H186" s="51">
        <v>8</v>
      </c>
      <c r="I186" s="51">
        <v>8</v>
      </c>
      <c r="J186" s="51"/>
      <c r="K186" s="51">
        <v>8</v>
      </c>
      <c r="L186" s="40">
        <v>2</v>
      </c>
      <c r="M186" s="40">
        <v>2</v>
      </c>
      <c r="N186" s="40">
        <v>2</v>
      </c>
      <c r="O186" s="40">
        <v>2</v>
      </c>
      <c r="P186" s="40">
        <v>2</v>
      </c>
      <c r="Q186" s="77"/>
      <c r="R186" s="77"/>
      <c r="S186" s="78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</row>
    <row r="187" spans="1:188" s="57" customFormat="1" ht="17.25" customHeight="1">
      <c r="A187" s="13">
        <v>19</v>
      </c>
      <c r="B187" s="92" t="s">
        <v>585</v>
      </c>
      <c r="C187" s="45"/>
      <c r="D187" s="44"/>
      <c r="E187" s="44"/>
      <c r="F187" s="44">
        <v>10</v>
      </c>
      <c r="G187" s="44">
        <v>10</v>
      </c>
      <c r="H187" s="44">
        <v>10</v>
      </c>
      <c r="I187" s="44">
        <v>10</v>
      </c>
      <c r="J187" s="44"/>
      <c r="K187" s="44">
        <v>10</v>
      </c>
      <c r="L187" s="44">
        <f>L188</f>
        <v>2</v>
      </c>
      <c r="M187" s="44">
        <f>M188</f>
        <v>2</v>
      </c>
      <c r="N187" s="44">
        <f>N188</f>
        <v>2</v>
      </c>
      <c r="O187" s="44">
        <f>O188</f>
        <v>2</v>
      </c>
      <c r="P187" s="44">
        <f>P188</f>
        <v>2</v>
      </c>
      <c r="Q187" s="123" t="e">
        <f>SUM(Q188,#REF!)</f>
        <v>#REF!</v>
      </c>
      <c r="R187" s="44" t="e">
        <f>SUM(R188,#REF!)</f>
        <v>#REF!</v>
      </c>
      <c r="S187" s="44" t="e">
        <f>SUM(S188,#REF!)</f>
        <v>#REF!</v>
      </c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  <c r="DH187" s="56"/>
      <c r="DI187" s="56"/>
      <c r="DJ187" s="56"/>
      <c r="DK187" s="56"/>
      <c r="DL187" s="56"/>
      <c r="DM187" s="56"/>
      <c r="DN187" s="56"/>
      <c r="DO187" s="56"/>
      <c r="DP187" s="56"/>
      <c r="DQ187" s="56"/>
      <c r="DR187" s="56"/>
      <c r="DS187" s="56"/>
      <c r="DT187" s="56"/>
      <c r="DU187" s="56"/>
      <c r="DV187" s="56"/>
      <c r="DW187" s="56"/>
      <c r="DX187" s="56"/>
      <c r="DY187" s="56"/>
      <c r="DZ187" s="56"/>
      <c r="EA187" s="56"/>
      <c r="EB187" s="56"/>
      <c r="EC187" s="56"/>
      <c r="ED187" s="56"/>
      <c r="EE187" s="56"/>
      <c r="EF187" s="56"/>
      <c r="EG187" s="56"/>
      <c r="EH187" s="56"/>
      <c r="EI187" s="56"/>
      <c r="EJ187" s="56"/>
      <c r="EK187" s="56"/>
      <c r="EL187" s="56"/>
      <c r="EM187" s="56"/>
      <c r="EN187" s="56"/>
      <c r="EO187" s="56"/>
      <c r="EP187" s="56"/>
      <c r="EQ187" s="56"/>
      <c r="ER187" s="56"/>
      <c r="ES187" s="56"/>
      <c r="ET187" s="56"/>
      <c r="EU187" s="56"/>
      <c r="EV187" s="56"/>
      <c r="EW187" s="56"/>
      <c r="EX187" s="56"/>
      <c r="EY187" s="56"/>
      <c r="EZ187" s="56"/>
      <c r="FA187" s="56"/>
      <c r="FB187" s="56"/>
      <c r="FC187" s="56"/>
      <c r="FD187" s="56"/>
      <c r="FE187" s="56"/>
      <c r="FF187" s="56"/>
      <c r="FG187" s="56"/>
      <c r="FH187" s="56"/>
      <c r="FI187" s="56"/>
      <c r="FJ187" s="56"/>
      <c r="FK187" s="56"/>
      <c r="FL187" s="56"/>
      <c r="FM187" s="56"/>
      <c r="FN187" s="56"/>
      <c r="FO187" s="56"/>
      <c r="FP187" s="56"/>
      <c r="FQ187" s="56"/>
      <c r="FR187" s="56"/>
      <c r="FS187" s="56"/>
      <c r="FT187" s="56"/>
      <c r="FU187" s="56"/>
      <c r="FV187" s="56"/>
      <c r="FW187" s="56"/>
      <c r="FX187" s="56"/>
      <c r="FY187" s="56"/>
      <c r="FZ187" s="56"/>
      <c r="GA187" s="56"/>
      <c r="GB187" s="56"/>
      <c r="GC187" s="56"/>
      <c r="GD187" s="56"/>
      <c r="GE187" s="56"/>
      <c r="GF187" s="56"/>
    </row>
    <row r="188" spans="1:48" s="18" customFormat="1" ht="18" customHeight="1">
      <c r="A188" s="50"/>
      <c r="B188" s="93" t="s">
        <v>669</v>
      </c>
      <c r="C188" s="16"/>
      <c r="D188" s="52"/>
      <c r="E188" s="52"/>
      <c r="F188" s="52"/>
      <c r="G188" s="52"/>
      <c r="H188" s="52"/>
      <c r="I188" s="52"/>
      <c r="J188" s="52"/>
      <c r="K188" s="52"/>
      <c r="L188" s="60">
        <f>SUM(L189:L190)</f>
        <v>2</v>
      </c>
      <c r="M188" s="60">
        <f>SUM(M189:M190)</f>
        <v>2</v>
      </c>
      <c r="N188" s="60">
        <f>SUM(N189:N190)</f>
        <v>2</v>
      </c>
      <c r="O188" s="60">
        <f>SUM(O189:O190)</f>
        <v>2</v>
      </c>
      <c r="P188" s="60">
        <f>SUM(P189:P190)</f>
        <v>2</v>
      </c>
      <c r="Q188" s="23"/>
      <c r="R188" s="23"/>
      <c r="S188" s="1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</row>
    <row r="189" spans="1:48" s="81" customFormat="1" ht="17.25" customHeight="1">
      <c r="A189" s="12"/>
      <c r="B189" s="97" t="s">
        <v>560</v>
      </c>
      <c r="C189" s="29" t="s">
        <v>741</v>
      </c>
      <c r="D189" s="51"/>
      <c r="E189" s="51"/>
      <c r="F189" s="51">
        <v>4</v>
      </c>
      <c r="G189" s="51">
        <v>4</v>
      </c>
      <c r="H189" s="51">
        <v>6</v>
      </c>
      <c r="I189" s="51">
        <v>6</v>
      </c>
      <c r="J189" s="51"/>
      <c r="K189" s="51">
        <v>6</v>
      </c>
      <c r="L189" s="40">
        <v>1</v>
      </c>
      <c r="M189" s="40">
        <v>1</v>
      </c>
      <c r="N189" s="40" t="s">
        <v>556</v>
      </c>
      <c r="O189" s="40">
        <v>1</v>
      </c>
      <c r="P189" s="40">
        <v>1</v>
      </c>
      <c r="Q189" s="30"/>
      <c r="R189" s="30"/>
      <c r="S189" s="79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</row>
    <row r="190" spans="1:48" s="18" customFormat="1" ht="16.5" customHeight="1">
      <c r="A190" s="50"/>
      <c r="B190" s="97" t="s">
        <v>594</v>
      </c>
      <c r="C190" s="29" t="s">
        <v>783</v>
      </c>
      <c r="D190" s="51"/>
      <c r="E190" s="51"/>
      <c r="F190" s="51">
        <v>9</v>
      </c>
      <c r="G190" s="51">
        <v>8</v>
      </c>
      <c r="H190" s="51">
        <v>8</v>
      </c>
      <c r="I190" s="51">
        <v>8</v>
      </c>
      <c r="J190" s="51"/>
      <c r="K190" s="51">
        <v>8</v>
      </c>
      <c r="L190" s="40">
        <v>1</v>
      </c>
      <c r="M190" s="40">
        <v>1</v>
      </c>
      <c r="N190" s="40">
        <v>2</v>
      </c>
      <c r="O190" s="40">
        <v>1</v>
      </c>
      <c r="P190" s="40">
        <v>1</v>
      </c>
      <c r="Q190" s="77"/>
      <c r="R190" s="77"/>
      <c r="S190" s="78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</row>
    <row r="191" spans="1:19" ht="14.25" customHeight="1">
      <c r="A191" s="399" t="s">
        <v>658</v>
      </c>
      <c r="B191" s="399"/>
      <c r="C191" s="399"/>
      <c r="D191" s="399"/>
      <c r="E191" s="399"/>
      <c r="F191" s="399"/>
      <c r="G191" s="399"/>
      <c r="H191" s="399"/>
      <c r="I191" s="399"/>
      <c r="J191" s="399"/>
      <c r="K191" s="399"/>
      <c r="L191" s="399"/>
      <c r="M191" s="399"/>
      <c r="N191" s="399"/>
      <c r="O191" s="399"/>
      <c r="P191" s="399"/>
      <c r="Q191" s="20"/>
      <c r="R191" s="20"/>
      <c r="S191" s="7"/>
    </row>
    <row r="192" spans="1:19" ht="13.5" customHeight="1">
      <c r="A192" s="400" t="s">
        <v>676</v>
      </c>
      <c r="B192" s="400"/>
      <c r="C192" s="400"/>
      <c r="D192" s="400"/>
      <c r="E192" s="400"/>
      <c r="F192" s="400"/>
      <c r="G192" s="400"/>
      <c r="H192" s="400"/>
      <c r="I192" s="400"/>
      <c r="J192" s="400"/>
      <c r="K192" s="400"/>
      <c r="L192" s="400"/>
      <c r="M192" s="400"/>
      <c r="N192" s="400"/>
      <c r="O192" s="400"/>
      <c r="P192" s="400"/>
      <c r="Q192" s="21"/>
      <c r="R192" s="21"/>
      <c r="S192" s="8"/>
    </row>
    <row r="193" spans="1:188" s="57" customFormat="1" ht="18" customHeight="1">
      <c r="A193" s="13">
        <v>20</v>
      </c>
      <c r="B193" s="92" t="s">
        <v>162</v>
      </c>
      <c r="C193" s="45"/>
      <c r="D193" s="44">
        <v>138</v>
      </c>
      <c r="E193" s="44">
        <v>25</v>
      </c>
      <c r="F193" s="44">
        <v>202</v>
      </c>
      <c r="G193" s="44">
        <v>120</v>
      </c>
      <c r="H193" s="44">
        <v>100</v>
      </c>
      <c r="I193" s="44">
        <v>90</v>
      </c>
      <c r="J193" s="44">
        <v>80</v>
      </c>
      <c r="K193" s="44">
        <v>70</v>
      </c>
      <c r="L193" s="44">
        <f>SUM(L194,L197,L200)</f>
        <v>4</v>
      </c>
      <c r="M193" s="44">
        <f>SUM(M194,M197,M200)</f>
        <v>2</v>
      </c>
      <c r="N193" s="44">
        <f>SUM(N194,N197,N200)</f>
        <v>1</v>
      </c>
      <c r="O193" s="44">
        <f>SUM(O194,O197,O200)</f>
        <v>1</v>
      </c>
      <c r="P193" s="44">
        <f>SUM(P194,P197,P200)</f>
        <v>1</v>
      </c>
      <c r="Q193" s="54" t="s">
        <v>648</v>
      </c>
      <c r="R193" s="54">
        <v>9</v>
      </c>
      <c r="S193" s="55" t="s">
        <v>733</v>
      </c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6"/>
      <c r="DX193" s="56"/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/>
      <c r="EK193" s="56"/>
      <c r="EL193" s="56"/>
      <c r="EM193" s="56"/>
      <c r="EN193" s="56"/>
      <c r="EO193" s="56"/>
      <c r="EP193" s="56"/>
      <c r="EQ193" s="56"/>
      <c r="ER193" s="56"/>
      <c r="ES193" s="56"/>
      <c r="ET193" s="56"/>
      <c r="EU193" s="56"/>
      <c r="EV193" s="56"/>
      <c r="EW193" s="56"/>
      <c r="EX193" s="56"/>
      <c r="EY193" s="56"/>
      <c r="EZ193" s="56"/>
      <c r="FA193" s="56"/>
      <c r="FB193" s="56"/>
      <c r="FC193" s="56"/>
      <c r="FD193" s="56"/>
      <c r="FE193" s="56"/>
      <c r="FF193" s="56"/>
      <c r="FG193" s="56"/>
      <c r="FH193" s="56"/>
      <c r="FI193" s="56"/>
      <c r="FJ193" s="56"/>
      <c r="FK193" s="56"/>
      <c r="FL193" s="56"/>
      <c r="FM193" s="56"/>
      <c r="FN193" s="56"/>
      <c r="FO193" s="56"/>
      <c r="FP193" s="56"/>
      <c r="FQ193" s="56"/>
      <c r="FR193" s="56"/>
      <c r="FS193" s="56"/>
      <c r="FT193" s="56"/>
      <c r="FU193" s="56"/>
      <c r="FV193" s="56"/>
      <c r="FW193" s="56"/>
      <c r="FX193" s="56"/>
      <c r="FY193" s="56"/>
      <c r="FZ193" s="56"/>
      <c r="GA193" s="56"/>
      <c r="GB193" s="56"/>
      <c r="GC193" s="56"/>
      <c r="GD193" s="56"/>
      <c r="GE193" s="56"/>
      <c r="GF193" s="56"/>
    </row>
    <row r="194" spans="1:48" s="18" customFormat="1" ht="17.25" customHeight="1">
      <c r="A194" s="50"/>
      <c r="B194" s="93" t="s">
        <v>669</v>
      </c>
      <c r="C194" s="16"/>
      <c r="D194" s="52"/>
      <c r="E194" s="52"/>
      <c r="F194" s="52"/>
      <c r="G194" s="52"/>
      <c r="H194" s="52"/>
      <c r="I194" s="52"/>
      <c r="J194" s="52"/>
      <c r="K194" s="52"/>
      <c r="L194" s="60">
        <v>1</v>
      </c>
      <c r="M194" s="60">
        <v>1</v>
      </c>
      <c r="N194" s="60">
        <v>1</v>
      </c>
      <c r="O194" s="60">
        <v>1</v>
      </c>
      <c r="P194" s="60">
        <v>1</v>
      </c>
      <c r="Q194" s="23"/>
      <c r="R194" s="23"/>
      <c r="S194" s="1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</row>
    <row r="195" spans="1:48" s="27" customFormat="1" ht="15.75" customHeight="1">
      <c r="A195" s="12"/>
      <c r="B195" s="97" t="s">
        <v>1316</v>
      </c>
      <c r="C195" s="29" t="s">
        <v>1317</v>
      </c>
      <c r="D195" s="51"/>
      <c r="E195" s="51"/>
      <c r="F195" s="51"/>
      <c r="G195" s="51">
        <v>1</v>
      </c>
      <c r="H195" s="51">
        <v>1</v>
      </c>
      <c r="I195" s="51">
        <v>1</v>
      </c>
      <c r="J195" s="51">
        <v>1</v>
      </c>
      <c r="K195" s="51">
        <v>1</v>
      </c>
      <c r="L195" s="40">
        <v>1</v>
      </c>
      <c r="M195" s="40" t="s">
        <v>556</v>
      </c>
      <c r="N195" s="40" t="s">
        <v>556</v>
      </c>
      <c r="O195" s="40" t="s">
        <v>556</v>
      </c>
      <c r="P195" s="40" t="s">
        <v>556</v>
      </c>
      <c r="Q195" s="30"/>
      <c r="R195" s="30"/>
      <c r="S195" s="30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</row>
    <row r="196" spans="1:48" s="27" customFormat="1" ht="15.75" customHeight="1">
      <c r="A196" s="12"/>
      <c r="B196" s="97" t="s">
        <v>594</v>
      </c>
      <c r="C196" s="29" t="s">
        <v>783</v>
      </c>
      <c r="D196" s="51"/>
      <c r="E196" s="51"/>
      <c r="F196" s="51"/>
      <c r="G196" s="51">
        <v>5</v>
      </c>
      <c r="H196" s="51">
        <v>5</v>
      </c>
      <c r="I196" s="51">
        <v>5</v>
      </c>
      <c r="J196" s="51">
        <v>5</v>
      </c>
      <c r="K196" s="51">
        <v>5</v>
      </c>
      <c r="L196" s="40" t="s">
        <v>556</v>
      </c>
      <c r="M196" s="40">
        <v>1</v>
      </c>
      <c r="N196" s="40">
        <v>1</v>
      </c>
      <c r="O196" s="40">
        <v>1</v>
      </c>
      <c r="P196" s="40">
        <v>1</v>
      </c>
      <c r="Q196" s="30"/>
      <c r="R196" s="30"/>
      <c r="S196" s="30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</row>
    <row r="197" spans="1:48" s="18" customFormat="1" ht="15.75" customHeight="1">
      <c r="A197" s="50"/>
      <c r="B197" s="93" t="s">
        <v>1336</v>
      </c>
      <c r="C197" s="16"/>
      <c r="D197" s="52"/>
      <c r="E197" s="52"/>
      <c r="F197" s="52"/>
      <c r="G197" s="52"/>
      <c r="H197" s="52"/>
      <c r="I197" s="52"/>
      <c r="J197" s="52"/>
      <c r="K197" s="52"/>
      <c r="L197" s="60">
        <v>1</v>
      </c>
      <c r="M197" s="60">
        <v>1</v>
      </c>
      <c r="N197" s="60" t="s">
        <v>556</v>
      </c>
      <c r="O197" s="60" t="s">
        <v>556</v>
      </c>
      <c r="P197" s="60" t="s">
        <v>556</v>
      </c>
      <c r="Q197" s="23"/>
      <c r="R197" s="23"/>
      <c r="S197" s="1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</row>
    <row r="198" spans="1:48" s="27" customFormat="1" ht="15.75" customHeight="1">
      <c r="A198" s="12"/>
      <c r="B198" s="97" t="s">
        <v>1054</v>
      </c>
      <c r="C198" s="15" t="s">
        <v>1055</v>
      </c>
      <c r="D198" s="51"/>
      <c r="E198" s="51"/>
      <c r="F198" s="51"/>
      <c r="G198" s="51">
        <v>1</v>
      </c>
      <c r="H198" s="51">
        <v>1</v>
      </c>
      <c r="I198" s="51">
        <v>1</v>
      </c>
      <c r="J198" s="51">
        <v>1</v>
      </c>
      <c r="K198" s="51">
        <v>1</v>
      </c>
      <c r="L198" s="40" t="s">
        <v>556</v>
      </c>
      <c r="M198" s="40">
        <v>1</v>
      </c>
      <c r="N198" s="40" t="s">
        <v>556</v>
      </c>
      <c r="O198" s="40" t="s">
        <v>556</v>
      </c>
      <c r="P198" s="40" t="s">
        <v>556</v>
      </c>
      <c r="Q198" s="30"/>
      <c r="R198" s="30"/>
      <c r="S198" s="30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</row>
    <row r="199" spans="1:48" s="27" customFormat="1" ht="15.75" customHeight="1">
      <c r="A199" s="12"/>
      <c r="B199" s="97" t="s">
        <v>65</v>
      </c>
      <c r="C199" s="15" t="s">
        <v>66</v>
      </c>
      <c r="D199" s="51"/>
      <c r="E199" s="51"/>
      <c r="F199" s="51"/>
      <c r="G199" s="51">
        <v>1</v>
      </c>
      <c r="H199" s="51">
        <v>1</v>
      </c>
      <c r="I199" s="51">
        <v>1</v>
      </c>
      <c r="J199" s="51">
        <v>1</v>
      </c>
      <c r="K199" s="51">
        <v>1</v>
      </c>
      <c r="L199" s="40">
        <v>1</v>
      </c>
      <c r="M199" s="40" t="s">
        <v>556</v>
      </c>
      <c r="N199" s="40" t="s">
        <v>556</v>
      </c>
      <c r="O199" s="40" t="s">
        <v>556</v>
      </c>
      <c r="P199" s="40" t="s">
        <v>556</v>
      </c>
      <c r="Q199" s="30"/>
      <c r="R199" s="30"/>
      <c r="S199" s="30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</row>
    <row r="200" spans="1:48" s="18" customFormat="1" ht="17.25" customHeight="1">
      <c r="A200" s="50"/>
      <c r="B200" s="93" t="s">
        <v>37</v>
      </c>
      <c r="C200" s="16"/>
      <c r="D200" s="52"/>
      <c r="E200" s="51"/>
      <c r="F200" s="51"/>
      <c r="G200" s="51"/>
      <c r="H200" s="51"/>
      <c r="I200" s="51"/>
      <c r="J200" s="51"/>
      <c r="K200" s="51"/>
      <c r="L200" s="60">
        <v>2</v>
      </c>
      <c r="M200" s="60" t="s">
        <v>556</v>
      </c>
      <c r="N200" s="60" t="s">
        <v>556</v>
      </c>
      <c r="O200" s="60" t="s">
        <v>556</v>
      </c>
      <c r="P200" s="60" t="s">
        <v>556</v>
      </c>
      <c r="Q200" s="255"/>
      <c r="R200" s="29"/>
      <c r="S200" s="29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</row>
    <row r="201" spans="1:48" s="27" customFormat="1" ht="18.75" customHeight="1">
      <c r="A201" s="12"/>
      <c r="B201" s="97" t="s">
        <v>807</v>
      </c>
      <c r="C201" s="29" t="s">
        <v>810</v>
      </c>
      <c r="D201" s="51"/>
      <c r="E201" s="51"/>
      <c r="F201" s="51"/>
      <c r="G201" s="51">
        <v>1</v>
      </c>
      <c r="H201" s="51">
        <v>1</v>
      </c>
      <c r="I201" s="51">
        <v>1</v>
      </c>
      <c r="J201" s="51">
        <v>1</v>
      </c>
      <c r="K201" s="51">
        <v>1</v>
      </c>
      <c r="L201" s="40">
        <v>1</v>
      </c>
      <c r="M201" s="40" t="s">
        <v>556</v>
      </c>
      <c r="N201" s="40" t="s">
        <v>556</v>
      </c>
      <c r="O201" s="40" t="s">
        <v>556</v>
      </c>
      <c r="P201" s="40" t="s">
        <v>556</v>
      </c>
      <c r="Q201" s="255" t="s">
        <v>556</v>
      </c>
      <c r="R201" s="29" t="s">
        <v>556</v>
      </c>
      <c r="S201" s="29" t="s">
        <v>556</v>
      </c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</row>
    <row r="202" spans="1:48" s="27" customFormat="1" ht="19.5" customHeight="1">
      <c r="A202" s="12"/>
      <c r="B202" s="97" t="s">
        <v>38</v>
      </c>
      <c r="C202" s="65" t="s">
        <v>457</v>
      </c>
      <c r="D202" s="51"/>
      <c r="E202" s="51"/>
      <c r="F202" s="51"/>
      <c r="G202" s="51">
        <v>1</v>
      </c>
      <c r="H202" s="51">
        <v>1</v>
      </c>
      <c r="I202" s="51">
        <v>1</v>
      </c>
      <c r="J202" s="51">
        <v>1</v>
      </c>
      <c r="K202" s="51">
        <v>1</v>
      </c>
      <c r="L202" s="40">
        <v>1</v>
      </c>
      <c r="M202" s="40" t="s">
        <v>556</v>
      </c>
      <c r="N202" s="40" t="s">
        <v>556</v>
      </c>
      <c r="O202" s="40" t="s">
        <v>556</v>
      </c>
      <c r="P202" s="40" t="s">
        <v>556</v>
      </c>
      <c r="Q202" s="38"/>
      <c r="R202" s="38"/>
      <c r="S202" s="3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</row>
    <row r="203" spans="1:188" s="57" customFormat="1" ht="18" customHeight="1">
      <c r="A203" s="13">
        <v>21</v>
      </c>
      <c r="B203" s="92" t="s">
        <v>296</v>
      </c>
      <c r="C203" s="45"/>
      <c r="D203" s="44">
        <v>30</v>
      </c>
      <c r="E203" s="44"/>
      <c r="F203" s="44">
        <v>202</v>
      </c>
      <c r="G203" s="44">
        <v>120</v>
      </c>
      <c r="H203" s="44">
        <v>100</v>
      </c>
      <c r="I203" s="44">
        <v>90</v>
      </c>
      <c r="J203" s="44">
        <v>80</v>
      </c>
      <c r="K203" s="44">
        <v>70</v>
      </c>
      <c r="L203" s="44">
        <f>L204</f>
        <v>1</v>
      </c>
      <c r="M203" s="44">
        <f>M204</f>
        <v>1</v>
      </c>
      <c r="N203" s="44">
        <f>N204</f>
        <v>1</v>
      </c>
      <c r="O203" s="44">
        <f>O204</f>
        <v>1</v>
      </c>
      <c r="P203" s="44" t="str">
        <f>P204</f>
        <v> -</v>
      </c>
      <c r="Q203" s="54" t="s">
        <v>648</v>
      </c>
      <c r="R203" s="54">
        <v>9</v>
      </c>
      <c r="S203" s="55" t="s">
        <v>733</v>
      </c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  <c r="DH203" s="56"/>
      <c r="DI203" s="56"/>
      <c r="DJ203" s="56"/>
      <c r="DK203" s="56"/>
      <c r="DL203" s="56"/>
      <c r="DM203" s="56"/>
      <c r="DN203" s="56"/>
      <c r="DO203" s="56"/>
      <c r="DP203" s="56"/>
      <c r="DQ203" s="56"/>
      <c r="DR203" s="56"/>
      <c r="DS203" s="56"/>
      <c r="DT203" s="56"/>
      <c r="DU203" s="56"/>
      <c r="DV203" s="56"/>
      <c r="DW203" s="56"/>
      <c r="DX203" s="56"/>
      <c r="DY203" s="56"/>
      <c r="DZ203" s="56"/>
      <c r="EA203" s="56"/>
      <c r="EB203" s="56"/>
      <c r="EC203" s="56"/>
      <c r="ED203" s="56"/>
      <c r="EE203" s="56"/>
      <c r="EF203" s="56"/>
      <c r="EG203" s="56"/>
      <c r="EH203" s="56"/>
      <c r="EI203" s="56"/>
      <c r="EJ203" s="56"/>
      <c r="EK203" s="56"/>
      <c r="EL203" s="56"/>
      <c r="EM203" s="56"/>
      <c r="EN203" s="56"/>
      <c r="EO203" s="56"/>
      <c r="EP203" s="56"/>
      <c r="EQ203" s="56"/>
      <c r="ER203" s="56"/>
      <c r="ES203" s="56"/>
      <c r="ET203" s="56"/>
      <c r="EU203" s="56"/>
      <c r="EV203" s="56"/>
      <c r="EW203" s="56"/>
      <c r="EX203" s="56"/>
      <c r="EY203" s="56"/>
      <c r="EZ203" s="56"/>
      <c r="FA203" s="56"/>
      <c r="FB203" s="56"/>
      <c r="FC203" s="56"/>
      <c r="FD203" s="56"/>
      <c r="FE203" s="56"/>
      <c r="FF203" s="56"/>
      <c r="FG203" s="56"/>
      <c r="FH203" s="56"/>
      <c r="FI203" s="56"/>
      <c r="FJ203" s="56"/>
      <c r="FK203" s="56"/>
      <c r="FL203" s="56"/>
      <c r="FM203" s="56"/>
      <c r="FN203" s="56"/>
      <c r="FO203" s="56"/>
      <c r="FP203" s="56"/>
      <c r="FQ203" s="56"/>
      <c r="FR203" s="56"/>
      <c r="FS203" s="56"/>
      <c r="FT203" s="56"/>
      <c r="FU203" s="56"/>
      <c r="FV203" s="56"/>
      <c r="FW203" s="56"/>
      <c r="FX203" s="56"/>
      <c r="FY203" s="56"/>
      <c r="FZ203" s="56"/>
      <c r="GA203" s="56"/>
      <c r="GB203" s="56"/>
      <c r="GC203" s="56"/>
      <c r="GD203" s="56"/>
      <c r="GE203" s="56"/>
      <c r="GF203" s="56"/>
    </row>
    <row r="204" spans="1:48" s="18" customFormat="1" ht="17.25" customHeight="1">
      <c r="A204" s="50"/>
      <c r="B204" s="93" t="s">
        <v>669</v>
      </c>
      <c r="C204" s="16"/>
      <c r="D204" s="52"/>
      <c r="E204" s="52"/>
      <c r="F204" s="52"/>
      <c r="G204" s="52"/>
      <c r="H204" s="52"/>
      <c r="I204" s="52"/>
      <c r="J204" s="52"/>
      <c r="K204" s="52"/>
      <c r="L204" s="60">
        <v>1</v>
      </c>
      <c r="M204" s="60">
        <v>1</v>
      </c>
      <c r="N204" s="60">
        <v>1</v>
      </c>
      <c r="O204" s="60">
        <v>1</v>
      </c>
      <c r="P204" s="60" t="s">
        <v>556</v>
      </c>
      <c r="Q204" s="23"/>
      <c r="R204" s="23"/>
      <c r="S204" s="1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</row>
    <row r="205" spans="1:48" s="27" customFormat="1" ht="15.75" customHeight="1">
      <c r="A205" s="12"/>
      <c r="B205" s="97" t="s">
        <v>594</v>
      </c>
      <c r="C205" s="29" t="s">
        <v>783</v>
      </c>
      <c r="D205" s="51"/>
      <c r="E205" s="51"/>
      <c r="F205" s="51"/>
      <c r="G205" s="51">
        <v>5</v>
      </c>
      <c r="H205" s="51">
        <v>5</v>
      </c>
      <c r="I205" s="51">
        <v>5</v>
      </c>
      <c r="J205" s="51">
        <v>5</v>
      </c>
      <c r="K205" s="51">
        <v>5</v>
      </c>
      <c r="L205" s="40">
        <v>1</v>
      </c>
      <c r="M205" s="40">
        <v>1</v>
      </c>
      <c r="N205" s="40">
        <v>1</v>
      </c>
      <c r="O205" s="40">
        <v>1</v>
      </c>
      <c r="P205" s="40" t="s">
        <v>556</v>
      </c>
      <c r="Q205" s="30"/>
      <c r="R205" s="30"/>
      <c r="S205" s="30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</row>
    <row r="206" spans="1:188" s="57" customFormat="1" ht="18" customHeight="1">
      <c r="A206" s="13">
        <v>22</v>
      </c>
      <c r="B206" s="92" t="s">
        <v>163</v>
      </c>
      <c r="C206" s="45"/>
      <c r="D206" s="44">
        <v>152</v>
      </c>
      <c r="E206" s="44">
        <v>41</v>
      </c>
      <c r="F206" s="44"/>
      <c r="G206" s="44">
        <v>151</v>
      </c>
      <c r="H206" s="44">
        <v>151</v>
      </c>
      <c r="I206" s="44">
        <v>151</v>
      </c>
      <c r="J206" s="44">
        <v>150</v>
      </c>
      <c r="K206" s="44">
        <v>150</v>
      </c>
      <c r="L206" s="44">
        <f>SUM(L207,L213,L216)</f>
        <v>3</v>
      </c>
      <c r="M206" s="44">
        <f>SUM(M207,M213,M216)</f>
        <v>5</v>
      </c>
      <c r="N206" s="44">
        <f>SUM(N207,N213,N216)</f>
        <v>6</v>
      </c>
      <c r="O206" s="44">
        <f>SUM(O207,O213,O216)</f>
        <v>4</v>
      </c>
      <c r="P206" s="44" t="s">
        <v>556</v>
      </c>
      <c r="Q206" s="54" t="s">
        <v>648</v>
      </c>
      <c r="R206" s="54">
        <v>9</v>
      </c>
      <c r="S206" s="55" t="s">
        <v>740</v>
      </c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  <c r="DL206" s="56"/>
      <c r="DM206" s="56"/>
      <c r="DN206" s="56"/>
      <c r="DO206" s="56"/>
      <c r="DP206" s="56"/>
      <c r="DQ206" s="56"/>
      <c r="DR206" s="56"/>
      <c r="DS206" s="56"/>
      <c r="DT206" s="56"/>
      <c r="DU206" s="56"/>
      <c r="DV206" s="56"/>
      <c r="DW206" s="56"/>
      <c r="DX206" s="56"/>
      <c r="DY206" s="56"/>
      <c r="DZ206" s="56"/>
      <c r="EA206" s="56"/>
      <c r="EB206" s="56"/>
      <c r="EC206" s="56"/>
      <c r="ED206" s="56"/>
      <c r="EE206" s="56"/>
      <c r="EF206" s="56"/>
      <c r="EG206" s="56"/>
      <c r="EH206" s="56"/>
      <c r="EI206" s="56"/>
      <c r="EJ206" s="56"/>
      <c r="EK206" s="56"/>
      <c r="EL206" s="56"/>
      <c r="EM206" s="56"/>
      <c r="EN206" s="56"/>
      <c r="EO206" s="56"/>
      <c r="EP206" s="56"/>
      <c r="EQ206" s="56"/>
      <c r="ER206" s="56"/>
      <c r="ES206" s="56"/>
      <c r="ET206" s="56"/>
      <c r="EU206" s="56"/>
      <c r="EV206" s="56"/>
      <c r="EW206" s="56"/>
      <c r="EX206" s="56"/>
      <c r="EY206" s="56"/>
      <c r="EZ206" s="56"/>
      <c r="FA206" s="56"/>
      <c r="FB206" s="56"/>
      <c r="FC206" s="56"/>
      <c r="FD206" s="56"/>
      <c r="FE206" s="56"/>
      <c r="FF206" s="56"/>
      <c r="FG206" s="56"/>
      <c r="FH206" s="56"/>
      <c r="FI206" s="56"/>
      <c r="FJ206" s="56"/>
      <c r="FK206" s="56"/>
      <c r="FL206" s="56"/>
      <c r="FM206" s="56"/>
      <c r="FN206" s="56"/>
      <c r="FO206" s="56"/>
      <c r="FP206" s="56"/>
      <c r="FQ206" s="56"/>
      <c r="FR206" s="56"/>
      <c r="FS206" s="56"/>
      <c r="FT206" s="56"/>
      <c r="FU206" s="56"/>
      <c r="FV206" s="56"/>
      <c r="FW206" s="56"/>
      <c r="FX206" s="56"/>
      <c r="FY206" s="56"/>
      <c r="FZ206" s="56"/>
      <c r="GA206" s="56"/>
      <c r="GB206" s="56"/>
      <c r="GC206" s="56"/>
      <c r="GD206" s="56"/>
      <c r="GE206" s="56"/>
      <c r="GF206" s="56"/>
    </row>
    <row r="207" spans="1:48" s="18" customFormat="1" ht="15" customHeight="1">
      <c r="A207" s="50"/>
      <c r="B207" s="93" t="s">
        <v>669</v>
      </c>
      <c r="C207" s="16"/>
      <c r="D207" s="52"/>
      <c r="E207" s="52"/>
      <c r="F207" s="52"/>
      <c r="G207" s="52"/>
      <c r="H207" s="52"/>
      <c r="I207" s="52"/>
      <c r="J207" s="52"/>
      <c r="K207" s="52"/>
      <c r="L207" s="60">
        <f>SUM(L208:L212)</f>
        <v>1</v>
      </c>
      <c r="M207" s="60">
        <f>SUM(M208:M212)</f>
        <v>3</v>
      </c>
      <c r="N207" s="60">
        <f>SUM(N208:N212)</f>
        <v>4</v>
      </c>
      <c r="O207" s="60">
        <f>SUM(O208:O212)</f>
        <v>3</v>
      </c>
      <c r="P207" s="60" t="s">
        <v>556</v>
      </c>
      <c r="Q207" s="23"/>
      <c r="R207" s="23"/>
      <c r="S207" s="1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</row>
    <row r="208" spans="1:48" s="27" customFormat="1" ht="15.75" customHeight="1">
      <c r="A208" s="12"/>
      <c r="B208" s="97" t="s">
        <v>560</v>
      </c>
      <c r="C208" s="29" t="s">
        <v>741</v>
      </c>
      <c r="D208" s="51"/>
      <c r="E208" s="51"/>
      <c r="F208" s="51"/>
      <c r="G208" s="51">
        <v>16</v>
      </c>
      <c r="H208" s="51">
        <v>16</v>
      </c>
      <c r="I208" s="51">
        <v>16</v>
      </c>
      <c r="J208" s="51">
        <v>15</v>
      </c>
      <c r="K208" s="51">
        <v>15</v>
      </c>
      <c r="L208" s="40" t="s">
        <v>556</v>
      </c>
      <c r="M208" s="40" t="s">
        <v>556</v>
      </c>
      <c r="N208" s="40" t="s">
        <v>556</v>
      </c>
      <c r="O208" s="40">
        <v>1</v>
      </c>
      <c r="P208" s="40" t="s">
        <v>556</v>
      </c>
      <c r="Q208" s="33"/>
      <c r="R208" s="28"/>
      <c r="S208" s="2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</row>
    <row r="209" spans="1:48" s="27" customFormat="1" ht="15" customHeight="1">
      <c r="A209" s="12"/>
      <c r="B209" s="97" t="s">
        <v>564</v>
      </c>
      <c r="C209" s="29" t="s">
        <v>565</v>
      </c>
      <c r="D209" s="51"/>
      <c r="E209" s="51"/>
      <c r="F209" s="51"/>
      <c r="G209" s="51">
        <v>2</v>
      </c>
      <c r="H209" s="51">
        <v>2</v>
      </c>
      <c r="I209" s="51">
        <v>2</v>
      </c>
      <c r="J209" s="51">
        <v>2</v>
      </c>
      <c r="K209" s="51">
        <v>2</v>
      </c>
      <c r="L209" s="40" t="s">
        <v>556</v>
      </c>
      <c r="M209" s="40" t="s">
        <v>556</v>
      </c>
      <c r="N209" s="40">
        <v>1</v>
      </c>
      <c r="O209" s="40" t="s">
        <v>556</v>
      </c>
      <c r="P209" s="40" t="s">
        <v>556</v>
      </c>
      <c r="Q209" s="33"/>
      <c r="R209" s="28"/>
      <c r="S209" s="2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</row>
    <row r="210" spans="1:48" s="27" customFormat="1" ht="16.5" customHeight="1">
      <c r="A210" s="12"/>
      <c r="B210" s="97" t="s">
        <v>1047</v>
      </c>
      <c r="C210" s="15" t="s">
        <v>1048</v>
      </c>
      <c r="D210" s="51"/>
      <c r="E210" s="51"/>
      <c r="F210" s="51"/>
      <c r="G210" s="51">
        <v>6</v>
      </c>
      <c r="H210" s="51">
        <v>6</v>
      </c>
      <c r="I210" s="51">
        <v>6</v>
      </c>
      <c r="J210" s="51">
        <v>6</v>
      </c>
      <c r="K210" s="51">
        <v>6</v>
      </c>
      <c r="L210" s="40" t="s">
        <v>556</v>
      </c>
      <c r="M210" s="40">
        <v>2</v>
      </c>
      <c r="N210" s="40" t="s">
        <v>556</v>
      </c>
      <c r="O210" s="40" t="s">
        <v>556</v>
      </c>
      <c r="P210" s="40" t="s">
        <v>556</v>
      </c>
      <c r="Q210" s="33"/>
      <c r="R210" s="28"/>
      <c r="S210" s="2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</row>
    <row r="211" spans="1:48" s="27" customFormat="1" ht="16.5" customHeight="1">
      <c r="A211" s="12"/>
      <c r="B211" s="97" t="s">
        <v>1316</v>
      </c>
      <c r="C211" s="29" t="s">
        <v>1317</v>
      </c>
      <c r="D211" s="51"/>
      <c r="E211" s="51"/>
      <c r="F211" s="51"/>
      <c r="G211" s="51">
        <v>2</v>
      </c>
      <c r="H211" s="51">
        <v>2</v>
      </c>
      <c r="I211" s="51">
        <v>2</v>
      </c>
      <c r="J211" s="51">
        <v>2</v>
      </c>
      <c r="K211" s="51">
        <v>2</v>
      </c>
      <c r="L211" s="40" t="s">
        <v>556</v>
      </c>
      <c r="M211" s="40" t="s">
        <v>556</v>
      </c>
      <c r="N211" s="40">
        <v>1</v>
      </c>
      <c r="O211" s="40" t="s">
        <v>556</v>
      </c>
      <c r="P211" s="40" t="s">
        <v>556</v>
      </c>
      <c r="Q211" s="33"/>
      <c r="R211" s="28"/>
      <c r="S211" s="2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</row>
    <row r="212" spans="1:48" s="27" customFormat="1" ht="15.75" customHeight="1">
      <c r="A212" s="12"/>
      <c r="B212" s="97" t="s">
        <v>594</v>
      </c>
      <c r="C212" s="29" t="s">
        <v>783</v>
      </c>
      <c r="D212" s="51"/>
      <c r="E212" s="51"/>
      <c r="F212" s="51"/>
      <c r="G212" s="51">
        <v>36</v>
      </c>
      <c r="H212" s="51">
        <v>36</v>
      </c>
      <c r="I212" s="51">
        <v>36</v>
      </c>
      <c r="J212" s="51">
        <v>36</v>
      </c>
      <c r="K212" s="51">
        <v>36</v>
      </c>
      <c r="L212" s="40">
        <v>1</v>
      </c>
      <c r="M212" s="40">
        <v>1</v>
      </c>
      <c r="N212" s="40">
        <v>2</v>
      </c>
      <c r="O212" s="40">
        <v>2</v>
      </c>
      <c r="P212" s="40" t="s">
        <v>556</v>
      </c>
      <c r="Q212" s="33" t="s">
        <v>556</v>
      </c>
      <c r="R212" s="28" t="s">
        <v>556</v>
      </c>
      <c r="S212" s="28" t="s">
        <v>556</v>
      </c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</row>
    <row r="213" spans="1:48" s="18" customFormat="1" ht="17.25" customHeight="1">
      <c r="A213" s="50"/>
      <c r="B213" s="93" t="s">
        <v>670</v>
      </c>
      <c r="C213" s="16"/>
      <c r="D213" s="52"/>
      <c r="E213" s="51"/>
      <c r="F213" s="51"/>
      <c r="G213" s="51"/>
      <c r="H213" s="51"/>
      <c r="I213" s="51"/>
      <c r="J213" s="51"/>
      <c r="K213" s="51"/>
      <c r="L213" s="60">
        <f>SUM(L214:L215)</f>
        <v>1</v>
      </c>
      <c r="M213" s="60">
        <v>2</v>
      </c>
      <c r="N213" s="60" t="s">
        <v>556</v>
      </c>
      <c r="O213" s="60" t="s">
        <v>556</v>
      </c>
      <c r="P213" s="60" t="s">
        <v>556</v>
      </c>
      <c r="Q213" s="255"/>
      <c r="R213" s="29"/>
      <c r="S213" s="29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</row>
    <row r="214" spans="1:48" s="27" customFormat="1" ht="16.5" customHeight="1">
      <c r="A214" s="12"/>
      <c r="B214" s="97" t="s">
        <v>1054</v>
      </c>
      <c r="C214" s="15" t="s">
        <v>1055</v>
      </c>
      <c r="D214" s="51"/>
      <c r="E214" s="51"/>
      <c r="F214" s="51"/>
      <c r="G214" s="51">
        <v>4</v>
      </c>
      <c r="H214" s="51">
        <v>4</v>
      </c>
      <c r="I214" s="51">
        <v>4</v>
      </c>
      <c r="J214" s="51">
        <v>4</v>
      </c>
      <c r="K214" s="51">
        <v>4</v>
      </c>
      <c r="L214" s="40" t="s">
        <v>556</v>
      </c>
      <c r="M214" s="40">
        <v>2</v>
      </c>
      <c r="N214" s="40" t="s">
        <v>556</v>
      </c>
      <c r="O214" s="40" t="s">
        <v>556</v>
      </c>
      <c r="P214" s="40" t="s">
        <v>556</v>
      </c>
      <c r="Q214" s="38"/>
      <c r="R214" s="38"/>
      <c r="S214" s="3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</row>
    <row r="215" spans="1:48" s="27" customFormat="1" ht="16.5" customHeight="1">
      <c r="A215" s="12"/>
      <c r="B215" s="97" t="s">
        <v>561</v>
      </c>
      <c r="C215" s="66" t="s">
        <v>804</v>
      </c>
      <c r="D215" s="51"/>
      <c r="E215" s="51"/>
      <c r="F215" s="51"/>
      <c r="G215" s="51">
        <v>6</v>
      </c>
      <c r="H215" s="51">
        <v>6</v>
      </c>
      <c r="I215" s="51">
        <v>6</v>
      </c>
      <c r="J215" s="51">
        <v>6</v>
      </c>
      <c r="K215" s="51">
        <v>6</v>
      </c>
      <c r="L215" s="40">
        <v>1</v>
      </c>
      <c r="M215" s="40" t="s">
        <v>556</v>
      </c>
      <c r="N215" s="40" t="s">
        <v>556</v>
      </c>
      <c r="O215" s="40" t="s">
        <v>556</v>
      </c>
      <c r="P215" s="40" t="s">
        <v>556</v>
      </c>
      <c r="Q215" s="38"/>
      <c r="R215" s="38"/>
      <c r="S215" s="3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</row>
    <row r="216" spans="1:48" s="18" customFormat="1" ht="17.25" customHeight="1">
      <c r="A216" s="50"/>
      <c r="B216" s="93" t="s">
        <v>37</v>
      </c>
      <c r="C216" s="16"/>
      <c r="D216" s="52"/>
      <c r="E216" s="51"/>
      <c r="F216" s="51"/>
      <c r="G216" s="51"/>
      <c r="H216" s="51"/>
      <c r="I216" s="51"/>
      <c r="J216" s="51"/>
      <c r="K216" s="51"/>
      <c r="L216" s="60">
        <f>SUM(L217:L220)</f>
        <v>1</v>
      </c>
      <c r="M216" s="60" t="s">
        <v>556</v>
      </c>
      <c r="N216" s="60">
        <f>SUM(N217:N220)</f>
        <v>2</v>
      </c>
      <c r="O216" s="60">
        <f>SUM(O217:O220)</f>
        <v>1</v>
      </c>
      <c r="P216" s="60" t="s">
        <v>556</v>
      </c>
      <c r="Q216" s="255"/>
      <c r="R216" s="29"/>
      <c r="S216" s="29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</row>
    <row r="217" spans="1:48" s="27" customFormat="1" ht="18.75" customHeight="1">
      <c r="A217" s="12"/>
      <c r="B217" s="106" t="s">
        <v>262</v>
      </c>
      <c r="C217" s="66" t="s">
        <v>1358</v>
      </c>
      <c r="D217" s="51"/>
      <c r="E217" s="51"/>
      <c r="F217" s="51"/>
      <c r="G217" s="51">
        <v>1</v>
      </c>
      <c r="H217" s="51">
        <v>1</v>
      </c>
      <c r="I217" s="51">
        <v>1</v>
      </c>
      <c r="J217" s="51">
        <v>1</v>
      </c>
      <c r="K217" s="51">
        <v>1</v>
      </c>
      <c r="L217" s="40" t="s">
        <v>556</v>
      </c>
      <c r="M217" s="40" t="s">
        <v>556</v>
      </c>
      <c r="N217" s="40">
        <v>1</v>
      </c>
      <c r="O217" s="40" t="s">
        <v>556</v>
      </c>
      <c r="P217" s="40" t="s">
        <v>556</v>
      </c>
      <c r="Q217" s="255" t="s">
        <v>556</v>
      </c>
      <c r="R217" s="29" t="s">
        <v>556</v>
      </c>
      <c r="S217" s="29" t="s">
        <v>556</v>
      </c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</row>
    <row r="218" spans="1:48" s="27" customFormat="1" ht="19.5" customHeight="1">
      <c r="A218" s="12"/>
      <c r="B218" s="97" t="s">
        <v>38</v>
      </c>
      <c r="C218" s="65" t="s">
        <v>457</v>
      </c>
      <c r="D218" s="51"/>
      <c r="E218" s="51"/>
      <c r="F218" s="51"/>
      <c r="G218" s="51">
        <v>1</v>
      </c>
      <c r="H218" s="51">
        <v>1</v>
      </c>
      <c r="I218" s="51">
        <v>1</v>
      </c>
      <c r="J218" s="51">
        <v>1</v>
      </c>
      <c r="K218" s="51">
        <v>1</v>
      </c>
      <c r="L218" s="40" t="s">
        <v>556</v>
      </c>
      <c r="M218" s="40" t="s">
        <v>556</v>
      </c>
      <c r="N218" s="40">
        <v>1</v>
      </c>
      <c r="O218" s="40" t="s">
        <v>556</v>
      </c>
      <c r="P218" s="40" t="s">
        <v>556</v>
      </c>
      <c r="Q218" s="38"/>
      <c r="R218" s="38"/>
      <c r="S218" s="3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</row>
    <row r="219" spans="1:48" s="27" customFormat="1" ht="15" customHeight="1">
      <c r="A219" s="12"/>
      <c r="B219" s="97" t="s">
        <v>871</v>
      </c>
      <c r="C219" s="29" t="s">
        <v>872</v>
      </c>
      <c r="D219" s="51"/>
      <c r="E219" s="51"/>
      <c r="F219" s="51"/>
      <c r="G219" s="51">
        <v>1</v>
      </c>
      <c r="H219" s="51">
        <v>1</v>
      </c>
      <c r="I219" s="51">
        <v>1</v>
      </c>
      <c r="J219" s="51">
        <v>1</v>
      </c>
      <c r="K219" s="51">
        <v>1</v>
      </c>
      <c r="L219" s="40" t="s">
        <v>556</v>
      </c>
      <c r="M219" s="40" t="s">
        <v>556</v>
      </c>
      <c r="N219" s="40" t="s">
        <v>556</v>
      </c>
      <c r="O219" s="40">
        <v>1</v>
      </c>
      <c r="P219" s="40" t="s">
        <v>556</v>
      </c>
      <c r="Q219" s="38"/>
      <c r="R219" s="38"/>
      <c r="S219" s="3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</row>
    <row r="220" spans="1:48" s="27" customFormat="1" ht="17.25" customHeight="1">
      <c r="A220" s="12"/>
      <c r="B220" s="97" t="s">
        <v>867</v>
      </c>
      <c r="C220" s="15" t="s">
        <v>868</v>
      </c>
      <c r="D220" s="51"/>
      <c r="E220" s="51"/>
      <c r="F220" s="51"/>
      <c r="G220" s="51">
        <v>2</v>
      </c>
      <c r="H220" s="51">
        <v>2</v>
      </c>
      <c r="I220" s="51">
        <v>2</v>
      </c>
      <c r="J220" s="51">
        <v>2</v>
      </c>
      <c r="K220" s="51">
        <v>2</v>
      </c>
      <c r="L220" s="40">
        <v>1</v>
      </c>
      <c r="M220" s="40" t="s">
        <v>556</v>
      </c>
      <c r="N220" s="40" t="s">
        <v>556</v>
      </c>
      <c r="O220" s="40" t="s">
        <v>556</v>
      </c>
      <c r="P220" s="40" t="s">
        <v>556</v>
      </c>
      <c r="Q220" s="30"/>
      <c r="R220" s="30"/>
      <c r="S220" s="30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</row>
    <row r="221" spans="1:19" ht="13.5" customHeight="1">
      <c r="A221" s="400" t="s">
        <v>909</v>
      </c>
      <c r="B221" s="400"/>
      <c r="C221" s="400"/>
      <c r="D221" s="400"/>
      <c r="E221" s="400"/>
      <c r="F221" s="400"/>
      <c r="G221" s="400"/>
      <c r="H221" s="400"/>
      <c r="I221" s="400"/>
      <c r="J221" s="400"/>
      <c r="K221" s="400"/>
      <c r="L221" s="400"/>
      <c r="M221" s="400"/>
      <c r="N221" s="400"/>
      <c r="O221" s="400"/>
      <c r="P221" s="400"/>
      <c r="Q221" s="21"/>
      <c r="R221" s="21"/>
      <c r="S221" s="8"/>
    </row>
    <row r="222" spans="1:188" s="57" customFormat="1" ht="18" customHeight="1">
      <c r="A222" s="13">
        <v>23</v>
      </c>
      <c r="B222" s="92" t="s">
        <v>164</v>
      </c>
      <c r="C222" s="45"/>
      <c r="D222" s="44">
        <v>36</v>
      </c>
      <c r="E222" s="44">
        <v>7</v>
      </c>
      <c r="F222" s="44"/>
      <c r="G222" s="44">
        <v>43</v>
      </c>
      <c r="H222" s="44">
        <v>48</v>
      </c>
      <c r="I222" s="44">
        <v>48</v>
      </c>
      <c r="J222" s="44">
        <v>48</v>
      </c>
      <c r="K222" s="44">
        <v>48</v>
      </c>
      <c r="L222" s="44">
        <f>SUM(L223,L230)</f>
        <v>7</v>
      </c>
      <c r="M222" s="44">
        <f>SUM(M223,M230)</f>
        <v>8</v>
      </c>
      <c r="N222" s="44">
        <f>SUM(N223,N230)</f>
        <v>1</v>
      </c>
      <c r="O222" s="44" t="s">
        <v>556</v>
      </c>
      <c r="P222" s="44" t="s">
        <v>556</v>
      </c>
      <c r="Q222" s="54" t="s">
        <v>649</v>
      </c>
      <c r="R222" s="54">
        <v>9</v>
      </c>
      <c r="S222" s="55" t="s">
        <v>911</v>
      </c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  <c r="DL222" s="56"/>
      <c r="DM222" s="56"/>
      <c r="DN222" s="56"/>
      <c r="DO222" s="56"/>
      <c r="DP222" s="56"/>
      <c r="DQ222" s="56"/>
      <c r="DR222" s="56"/>
      <c r="DS222" s="56"/>
      <c r="DT222" s="56"/>
      <c r="DU222" s="56"/>
      <c r="DV222" s="56"/>
      <c r="DW222" s="56"/>
      <c r="DX222" s="56"/>
      <c r="DY222" s="56"/>
      <c r="DZ222" s="56"/>
      <c r="EA222" s="56"/>
      <c r="EB222" s="56"/>
      <c r="EC222" s="56"/>
      <c r="ED222" s="56"/>
      <c r="EE222" s="56"/>
      <c r="EF222" s="56"/>
      <c r="EG222" s="56"/>
      <c r="EH222" s="56"/>
      <c r="EI222" s="56"/>
      <c r="EJ222" s="56"/>
      <c r="EK222" s="56"/>
      <c r="EL222" s="56"/>
      <c r="EM222" s="56"/>
      <c r="EN222" s="56"/>
      <c r="EO222" s="56"/>
      <c r="EP222" s="56"/>
      <c r="EQ222" s="56"/>
      <c r="ER222" s="56"/>
      <c r="ES222" s="56"/>
      <c r="ET222" s="56"/>
      <c r="EU222" s="56"/>
      <c r="EV222" s="56"/>
      <c r="EW222" s="56"/>
      <c r="EX222" s="56"/>
      <c r="EY222" s="56"/>
      <c r="EZ222" s="56"/>
      <c r="FA222" s="56"/>
      <c r="FB222" s="56"/>
      <c r="FC222" s="56"/>
      <c r="FD222" s="56"/>
      <c r="FE222" s="56"/>
      <c r="FF222" s="56"/>
      <c r="FG222" s="56"/>
      <c r="FH222" s="56"/>
      <c r="FI222" s="56"/>
      <c r="FJ222" s="56"/>
      <c r="FK222" s="56"/>
      <c r="FL222" s="56"/>
      <c r="FM222" s="56"/>
      <c r="FN222" s="56"/>
      <c r="FO222" s="56"/>
      <c r="FP222" s="56"/>
      <c r="FQ222" s="56"/>
      <c r="FR222" s="56"/>
      <c r="FS222" s="56"/>
      <c r="FT222" s="56"/>
      <c r="FU222" s="56"/>
      <c r="FV222" s="56"/>
      <c r="FW222" s="56"/>
      <c r="FX222" s="56"/>
      <c r="FY222" s="56"/>
      <c r="FZ222" s="56"/>
      <c r="GA222" s="56"/>
      <c r="GB222" s="56"/>
      <c r="GC222" s="56"/>
      <c r="GD222" s="56"/>
      <c r="GE222" s="56"/>
      <c r="GF222" s="56"/>
    </row>
    <row r="223" spans="1:48" s="18" customFormat="1" ht="17.25" customHeight="1">
      <c r="A223" s="50"/>
      <c r="B223" s="93" t="s">
        <v>669</v>
      </c>
      <c r="C223" s="16"/>
      <c r="D223" s="52"/>
      <c r="E223" s="52"/>
      <c r="F223" s="52"/>
      <c r="G223" s="52"/>
      <c r="H223" s="52"/>
      <c r="I223" s="52"/>
      <c r="J223" s="52"/>
      <c r="K223" s="52"/>
      <c r="L223" s="60">
        <f>SUM(L224:L229)</f>
        <v>4</v>
      </c>
      <c r="M223" s="60">
        <f>SUM(M224:M229)</f>
        <v>8</v>
      </c>
      <c r="N223" s="60">
        <f>SUM(N224:N229)</f>
        <v>1</v>
      </c>
      <c r="O223" s="60" t="s">
        <v>556</v>
      </c>
      <c r="P223" s="60" t="s">
        <v>556</v>
      </c>
      <c r="Q223" s="23"/>
      <c r="R223" s="23"/>
      <c r="S223" s="1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</row>
    <row r="224" spans="1:48" s="27" customFormat="1" ht="16.5" customHeight="1">
      <c r="A224" s="12"/>
      <c r="B224" s="97" t="s">
        <v>1047</v>
      </c>
      <c r="C224" s="15" t="s">
        <v>1048</v>
      </c>
      <c r="D224" s="51"/>
      <c r="E224" s="51">
        <v>1</v>
      </c>
      <c r="F224" s="51"/>
      <c r="G224" s="51">
        <v>4</v>
      </c>
      <c r="H224" s="51">
        <v>5</v>
      </c>
      <c r="I224" s="51">
        <v>5</v>
      </c>
      <c r="J224" s="51">
        <v>5</v>
      </c>
      <c r="K224" s="51">
        <v>5</v>
      </c>
      <c r="L224" s="40" t="s">
        <v>556</v>
      </c>
      <c r="M224" s="40">
        <v>2</v>
      </c>
      <c r="N224" s="40" t="s">
        <v>556</v>
      </c>
      <c r="O224" s="40" t="s">
        <v>556</v>
      </c>
      <c r="P224" s="40" t="s">
        <v>556</v>
      </c>
      <c r="Q224" s="33"/>
      <c r="R224" s="28"/>
      <c r="S224" s="2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</row>
    <row r="225" spans="1:48" s="27" customFormat="1" ht="15.75" customHeight="1">
      <c r="A225" s="12"/>
      <c r="B225" s="97" t="s">
        <v>1049</v>
      </c>
      <c r="C225" s="29" t="s">
        <v>1050</v>
      </c>
      <c r="D225" s="51"/>
      <c r="E225" s="51" t="s">
        <v>556</v>
      </c>
      <c r="F225" s="51">
        <v>12</v>
      </c>
      <c r="G225" s="51">
        <v>4</v>
      </c>
      <c r="H225" s="51">
        <v>8</v>
      </c>
      <c r="I225" s="51">
        <v>8</v>
      </c>
      <c r="J225" s="51">
        <v>8</v>
      </c>
      <c r="K225" s="51">
        <v>8</v>
      </c>
      <c r="L225" s="40" t="s">
        <v>556</v>
      </c>
      <c r="M225" s="40">
        <v>4</v>
      </c>
      <c r="N225" s="40" t="s">
        <v>556</v>
      </c>
      <c r="O225" s="40" t="s">
        <v>556</v>
      </c>
      <c r="P225" s="40" t="s">
        <v>556</v>
      </c>
      <c r="Q225" s="33"/>
      <c r="R225" s="28"/>
      <c r="S225" s="2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</row>
    <row r="226" spans="1:48" s="27" customFormat="1" ht="17.25" customHeight="1">
      <c r="A226" s="12"/>
      <c r="B226" s="97" t="s">
        <v>1320</v>
      </c>
      <c r="C226" s="29" t="s">
        <v>1322</v>
      </c>
      <c r="D226" s="51"/>
      <c r="E226" s="51">
        <v>1</v>
      </c>
      <c r="F226" s="51"/>
      <c r="G226" s="51">
        <v>1</v>
      </c>
      <c r="H226" s="51">
        <v>1</v>
      </c>
      <c r="I226" s="51">
        <v>1</v>
      </c>
      <c r="J226" s="51">
        <v>1</v>
      </c>
      <c r="K226" s="51">
        <v>1</v>
      </c>
      <c r="L226" s="40" t="s">
        <v>556</v>
      </c>
      <c r="M226" s="40" t="s">
        <v>556</v>
      </c>
      <c r="N226" s="40">
        <v>1</v>
      </c>
      <c r="O226" s="40" t="s">
        <v>556</v>
      </c>
      <c r="P226" s="40" t="s">
        <v>556</v>
      </c>
      <c r="Q226" s="33"/>
      <c r="R226" s="28"/>
      <c r="S226" s="2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</row>
    <row r="227" spans="1:48" s="27" customFormat="1" ht="17.25" customHeight="1">
      <c r="A227" s="12"/>
      <c r="B227" s="97" t="s">
        <v>453</v>
      </c>
      <c r="C227" s="29" t="s">
        <v>454</v>
      </c>
      <c r="D227" s="51"/>
      <c r="E227" s="51">
        <v>1</v>
      </c>
      <c r="F227" s="51"/>
      <c r="G227" s="51">
        <v>1</v>
      </c>
      <c r="H227" s="51">
        <v>1</v>
      </c>
      <c r="I227" s="51">
        <v>1</v>
      </c>
      <c r="J227" s="51">
        <v>1</v>
      </c>
      <c r="K227" s="51">
        <v>1</v>
      </c>
      <c r="L227" s="40" t="s">
        <v>556</v>
      </c>
      <c r="M227" s="40">
        <v>1</v>
      </c>
      <c r="N227" s="40" t="s">
        <v>556</v>
      </c>
      <c r="O227" s="40" t="s">
        <v>556</v>
      </c>
      <c r="P227" s="40" t="s">
        <v>556</v>
      </c>
      <c r="Q227" s="33"/>
      <c r="R227" s="28"/>
      <c r="S227" s="2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</row>
    <row r="228" spans="1:48" s="27" customFormat="1" ht="15.75" customHeight="1">
      <c r="A228" s="12"/>
      <c r="B228" s="97" t="s">
        <v>560</v>
      </c>
      <c r="C228" s="29" t="s">
        <v>741</v>
      </c>
      <c r="D228" s="51"/>
      <c r="E228" s="51">
        <v>1</v>
      </c>
      <c r="F228" s="51"/>
      <c r="G228" s="51">
        <v>4</v>
      </c>
      <c r="H228" s="51">
        <v>4</v>
      </c>
      <c r="I228" s="51">
        <v>4</v>
      </c>
      <c r="J228" s="51">
        <v>4</v>
      </c>
      <c r="K228" s="51">
        <v>4</v>
      </c>
      <c r="L228" s="40">
        <v>1</v>
      </c>
      <c r="M228" s="40">
        <v>1</v>
      </c>
      <c r="N228" s="40" t="s">
        <v>556</v>
      </c>
      <c r="O228" s="40" t="s">
        <v>556</v>
      </c>
      <c r="P228" s="40" t="s">
        <v>556</v>
      </c>
      <c r="Q228" s="33"/>
      <c r="R228" s="28"/>
      <c r="S228" s="2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</row>
    <row r="229" spans="1:48" s="27" customFormat="1" ht="15.75" customHeight="1">
      <c r="A229" s="12"/>
      <c r="B229" s="97" t="s">
        <v>594</v>
      </c>
      <c r="C229" s="29" t="s">
        <v>783</v>
      </c>
      <c r="D229" s="51"/>
      <c r="E229" s="51" t="s">
        <v>556</v>
      </c>
      <c r="F229" s="51"/>
      <c r="G229" s="51">
        <v>9</v>
      </c>
      <c r="H229" s="51">
        <v>9</v>
      </c>
      <c r="I229" s="51">
        <v>9</v>
      </c>
      <c r="J229" s="51">
        <v>9</v>
      </c>
      <c r="K229" s="51">
        <v>9</v>
      </c>
      <c r="L229" s="40">
        <v>3</v>
      </c>
      <c r="M229" s="40" t="s">
        <v>556</v>
      </c>
      <c r="N229" s="40" t="s">
        <v>556</v>
      </c>
      <c r="O229" s="40" t="s">
        <v>556</v>
      </c>
      <c r="P229" s="40" t="s">
        <v>556</v>
      </c>
      <c r="Q229" s="33" t="s">
        <v>556</v>
      </c>
      <c r="R229" s="28" t="s">
        <v>556</v>
      </c>
      <c r="S229" s="28" t="s">
        <v>556</v>
      </c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</row>
    <row r="230" spans="1:48" s="18" customFormat="1" ht="16.5" customHeight="1">
      <c r="A230" s="50"/>
      <c r="B230" s="93" t="s">
        <v>37</v>
      </c>
      <c r="C230" s="16"/>
      <c r="D230" s="52"/>
      <c r="E230" s="52"/>
      <c r="F230" s="52"/>
      <c r="G230" s="52"/>
      <c r="H230" s="52"/>
      <c r="I230" s="52"/>
      <c r="J230" s="52"/>
      <c r="K230" s="52"/>
      <c r="L230" s="60">
        <v>3</v>
      </c>
      <c r="M230" s="60" t="str">
        <f>M231</f>
        <v> -</v>
      </c>
      <c r="N230" s="60" t="s">
        <v>556</v>
      </c>
      <c r="O230" s="60" t="str">
        <f>O231</f>
        <v> -</v>
      </c>
      <c r="P230" s="60" t="str">
        <f>P231</f>
        <v> -</v>
      </c>
      <c r="Q230" s="23"/>
      <c r="R230" s="23"/>
      <c r="S230" s="1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</row>
    <row r="231" spans="1:48" s="27" customFormat="1" ht="17.25" customHeight="1">
      <c r="A231" s="12"/>
      <c r="B231" s="106" t="s">
        <v>262</v>
      </c>
      <c r="C231" s="66" t="s">
        <v>1358</v>
      </c>
      <c r="D231" s="51"/>
      <c r="E231" s="51" t="s">
        <v>556</v>
      </c>
      <c r="F231" s="51"/>
      <c r="G231" s="51">
        <v>3</v>
      </c>
      <c r="H231" s="51">
        <v>3</v>
      </c>
      <c r="I231" s="51">
        <v>3</v>
      </c>
      <c r="J231" s="51">
        <v>3</v>
      </c>
      <c r="K231" s="51">
        <v>3</v>
      </c>
      <c r="L231" s="40">
        <v>1</v>
      </c>
      <c r="M231" s="40" t="s">
        <v>556</v>
      </c>
      <c r="N231" s="40" t="s">
        <v>556</v>
      </c>
      <c r="O231" s="40" t="s">
        <v>556</v>
      </c>
      <c r="P231" s="40" t="s">
        <v>556</v>
      </c>
      <c r="Q231" s="30"/>
      <c r="R231" s="30"/>
      <c r="S231" s="30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</row>
    <row r="232" spans="1:48" s="27" customFormat="1" ht="17.25" customHeight="1">
      <c r="A232" s="12"/>
      <c r="B232" s="97" t="s">
        <v>867</v>
      </c>
      <c r="C232" s="15" t="s">
        <v>868</v>
      </c>
      <c r="D232" s="51"/>
      <c r="E232" s="51" t="s">
        <v>556</v>
      </c>
      <c r="F232" s="51"/>
      <c r="G232" s="51">
        <v>1</v>
      </c>
      <c r="H232" s="51">
        <v>1</v>
      </c>
      <c r="I232" s="51">
        <v>1</v>
      </c>
      <c r="J232" s="51">
        <v>1</v>
      </c>
      <c r="K232" s="51">
        <v>1</v>
      </c>
      <c r="L232" s="40">
        <v>1</v>
      </c>
      <c r="M232" s="40" t="s">
        <v>556</v>
      </c>
      <c r="N232" s="40" t="s">
        <v>556</v>
      </c>
      <c r="O232" s="40" t="s">
        <v>556</v>
      </c>
      <c r="P232" s="40" t="s">
        <v>556</v>
      </c>
      <c r="Q232" s="30"/>
      <c r="R232" s="30"/>
      <c r="S232" s="30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</row>
    <row r="233" spans="1:48" s="27" customFormat="1" ht="17.25" customHeight="1">
      <c r="A233" s="12"/>
      <c r="B233" s="97" t="s">
        <v>807</v>
      </c>
      <c r="C233" s="15" t="s">
        <v>810</v>
      </c>
      <c r="D233" s="51"/>
      <c r="E233" s="51" t="s">
        <v>556</v>
      </c>
      <c r="F233" s="51"/>
      <c r="G233" s="51">
        <v>1</v>
      </c>
      <c r="H233" s="51">
        <v>1</v>
      </c>
      <c r="I233" s="51">
        <v>1</v>
      </c>
      <c r="J233" s="51">
        <v>1</v>
      </c>
      <c r="K233" s="51">
        <v>1</v>
      </c>
      <c r="L233" s="40">
        <v>1</v>
      </c>
      <c r="M233" s="40" t="s">
        <v>556</v>
      </c>
      <c r="N233" s="40" t="s">
        <v>556</v>
      </c>
      <c r="O233" s="40" t="s">
        <v>556</v>
      </c>
      <c r="P233" s="40" t="s">
        <v>556</v>
      </c>
      <c r="Q233" s="30"/>
      <c r="R233" s="30"/>
      <c r="S233" s="30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</row>
    <row r="234" spans="1:188" s="57" customFormat="1" ht="18" customHeight="1">
      <c r="A234" s="13">
        <v>24</v>
      </c>
      <c r="B234" s="92" t="s">
        <v>165</v>
      </c>
      <c r="C234" s="45"/>
      <c r="D234" s="44">
        <v>63</v>
      </c>
      <c r="E234" s="44">
        <v>5</v>
      </c>
      <c r="F234" s="44">
        <v>79</v>
      </c>
      <c r="G234" s="44">
        <v>63</v>
      </c>
      <c r="H234" s="44">
        <v>63</v>
      </c>
      <c r="I234" s="44">
        <v>63</v>
      </c>
      <c r="J234" s="44">
        <v>63</v>
      </c>
      <c r="K234" s="44">
        <v>63</v>
      </c>
      <c r="L234" s="44">
        <f>L235</f>
        <v>2</v>
      </c>
      <c r="M234" s="44">
        <f>M235</f>
        <v>4</v>
      </c>
      <c r="N234" s="44">
        <f>N235</f>
        <v>4</v>
      </c>
      <c r="O234" s="44">
        <f>O235</f>
        <v>4</v>
      </c>
      <c r="P234" s="44">
        <f>P235</f>
        <v>4</v>
      </c>
      <c r="Q234" s="54" t="s">
        <v>649</v>
      </c>
      <c r="R234" s="54">
        <v>9</v>
      </c>
      <c r="S234" s="55" t="s">
        <v>915</v>
      </c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56"/>
      <c r="CP234" s="56"/>
      <c r="CQ234" s="56"/>
      <c r="CR234" s="56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6"/>
      <c r="DE234" s="56"/>
      <c r="DF234" s="56"/>
      <c r="DG234" s="56"/>
      <c r="DH234" s="56"/>
      <c r="DI234" s="56"/>
      <c r="DJ234" s="56"/>
      <c r="DK234" s="56"/>
      <c r="DL234" s="56"/>
      <c r="DM234" s="56"/>
      <c r="DN234" s="56"/>
      <c r="DO234" s="56"/>
      <c r="DP234" s="56"/>
      <c r="DQ234" s="56"/>
      <c r="DR234" s="56"/>
      <c r="DS234" s="56"/>
      <c r="DT234" s="56"/>
      <c r="DU234" s="56"/>
      <c r="DV234" s="56"/>
      <c r="DW234" s="56"/>
      <c r="DX234" s="56"/>
      <c r="DY234" s="56"/>
      <c r="DZ234" s="56"/>
      <c r="EA234" s="56"/>
      <c r="EB234" s="56"/>
      <c r="EC234" s="56"/>
      <c r="ED234" s="56"/>
      <c r="EE234" s="56"/>
      <c r="EF234" s="56"/>
      <c r="EG234" s="56"/>
      <c r="EH234" s="56"/>
      <c r="EI234" s="56"/>
      <c r="EJ234" s="56"/>
      <c r="EK234" s="56"/>
      <c r="EL234" s="56"/>
      <c r="EM234" s="56"/>
      <c r="EN234" s="56"/>
      <c r="EO234" s="56"/>
      <c r="EP234" s="56"/>
      <c r="EQ234" s="56"/>
      <c r="ER234" s="56"/>
      <c r="ES234" s="56"/>
      <c r="ET234" s="56"/>
      <c r="EU234" s="56"/>
      <c r="EV234" s="56"/>
      <c r="EW234" s="56"/>
      <c r="EX234" s="56"/>
      <c r="EY234" s="56"/>
      <c r="EZ234" s="56"/>
      <c r="FA234" s="56"/>
      <c r="FB234" s="56"/>
      <c r="FC234" s="56"/>
      <c r="FD234" s="56"/>
      <c r="FE234" s="56"/>
      <c r="FF234" s="56"/>
      <c r="FG234" s="56"/>
      <c r="FH234" s="56"/>
      <c r="FI234" s="56"/>
      <c r="FJ234" s="56"/>
      <c r="FK234" s="56"/>
      <c r="FL234" s="56"/>
      <c r="FM234" s="56"/>
      <c r="FN234" s="56"/>
      <c r="FO234" s="56"/>
      <c r="FP234" s="56"/>
      <c r="FQ234" s="56"/>
      <c r="FR234" s="56"/>
      <c r="FS234" s="56"/>
      <c r="FT234" s="56"/>
      <c r="FU234" s="56"/>
      <c r="FV234" s="56"/>
      <c r="FW234" s="56"/>
      <c r="FX234" s="56"/>
      <c r="FY234" s="56"/>
      <c r="FZ234" s="56"/>
      <c r="GA234" s="56"/>
      <c r="GB234" s="56"/>
      <c r="GC234" s="56"/>
      <c r="GD234" s="56"/>
      <c r="GE234" s="56"/>
      <c r="GF234" s="56"/>
    </row>
    <row r="235" spans="1:48" s="18" customFormat="1" ht="16.5" customHeight="1">
      <c r="A235" s="50"/>
      <c r="B235" s="93" t="s">
        <v>669</v>
      </c>
      <c r="C235" s="16"/>
      <c r="D235" s="52"/>
      <c r="E235" s="52"/>
      <c r="F235" s="52"/>
      <c r="G235" s="52"/>
      <c r="H235" s="52"/>
      <c r="I235" s="52"/>
      <c r="J235" s="52"/>
      <c r="K235" s="52"/>
      <c r="L235" s="60">
        <f>SUM(L236:L237)</f>
        <v>2</v>
      </c>
      <c r="M235" s="60">
        <f>SUM(M236:M237)</f>
        <v>4</v>
      </c>
      <c r="N235" s="60">
        <f>SUM(N236:N237)</f>
        <v>4</v>
      </c>
      <c r="O235" s="60">
        <f>SUM(O236:O237)</f>
        <v>4</v>
      </c>
      <c r="P235" s="60">
        <f>SUM(P236:P237)</f>
        <v>4</v>
      </c>
      <c r="Q235" s="23"/>
      <c r="R235" s="23"/>
      <c r="S235" s="1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</row>
    <row r="236" spans="1:48" s="27" customFormat="1" ht="15.75" customHeight="1">
      <c r="A236" s="12"/>
      <c r="B236" s="97" t="s">
        <v>1049</v>
      </c>
      <c r="C236" s="29" t="s">
        <v>1050</v>
      </c>
      <c r="D236" s="51"/>
      <c r="E236" s="51"/>
      <c r="F236" s="51">
        <v>14</v>
      </c>
      <c r="G236" s="51">
        <v>12</v>
      </c>
      <c r="H236" s="51">
        <v>12</v>
      </c>
      <c r="I236" s="51">
        <v>12</v>
      </c>
      <c r="J236" s="51">
        <v>12</v>
      </c>
      <c r="K236" s="51">
        <v>12</v>
      </c>
      <c r="L236" s="40" t="s">
        <v>556</v>
      </c>
      <c r="M236" s="40">
        <v>1</v>
      </c>
      <c r="N236" s="40" t="s">
        <v>556</v>
      </c>
      <c r="O236" s="40" t="s">
        <v>556</v>
      </c>
      <c r="P236" s="40" t="s">
        <v>556</v>
      </c>
      <c r="Q236" s="33"/>
      <c r="R236" s="28"/>
      <c r="S236" s="2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</row>
    <row r="237" spans="1:48" s="27" customFormat="1" ht="15.75" customHeight="1">
      <c r="A237" s="12"/>
      <c r="B237" s="97" t="s">
        <v>594</v>
      </c>
      <c r="C237" s="29" t="s">
        <v>783</v>
      </c>
      <c r="D237" s="51"/>
      <c r="E237" s="51"/>
      <c r="F237" s="51"/>
      <c r="G237" s="51"/>
      <c r="H237" s="51"/>
      <c r="I237" s="51"/>
      <c r="J237" s="51"/>
      <c r="K237" s="51"/>
      <c r="L237" s="40">
        <v>2</v>
      </c>
      <c r="M237" s="40">
        <v>3</v>
      </c>
      <c r="N237" s="40">
        <v>4</v>
      </c>
      <c r="O237" s="40">
        <v>4</v>
      </c>
      <c r="P237" s="40">
        <v>4</v>
      </c>
      <c r="Q237" s="33" t="s">
        <v>556</v>
      </c>
      <c r="R237" s="28" t="s">
        <v>556</v>
      </c>
      <c r="S237" s="28" t="s">
        <v>556</v>
      </c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</row>
    <row r="238" spans="1:19" ht="14.25" customHeight="1">
      <c r="A238" s="399" t="s">
        <v>657</v>
      </c>
      <c r="B238" s="399"/>
      <c r="C238" s="399"/>
      <c r="D238" s="399"/>
      <c r="E238" s="399"/>
      <c r="F238" s="399"/>
      <c r="G238" s="399"/>
      <c r="H238" s="399"/>
      <c r="I238" s="399"/>
      <c r="J238" s="399"/>
      <c r="K238" s="399"/>
      <c r="L238" s="399"/>
      <c r="M238" s="399"/>
      <c r="N238" s="399"/>
      <c r="O238" s="399"/>
      <c r="P238" s="399"/>
      <c r="Q238" s="20"/>
      <c r="R238" s="20"/>
      <c r="S238" s="7"/>
    </row>
    <row r="239" spans="1:19" ht="13.5" customHeight="1">
      <c r="A239" s="400" t="s">
        <v>676</v>
      </c>
      <c r="B239" s="400"/>
      <c r="C239" s="400"/>
      <c r="D239" s="400"/>
      <c r="E239" s="400"/>
      <c r="F239" s="400"/>
      <c r="G239" s="400"/>
      <c r="H239" s="400"/>
      <c r="I239" s="400"/>
      <c r="J239" s="400"/>
      <c r="K239" s="400"/>
      <c r="L239" s="400"/>
      <c r="M239" s="400"/>
      <c r="N239" s="400"/>
      <c r="O239" s="400"/>
      <c r="P239" s="400"/>
      <c r="Q239" s="21"/>
      <c r="R239" s="21"/>
      <c r="S239" s="8"/>
    </row>
    <row r="240" spans="1:188" s="57" customFormat="1" ht="18" customHeight="1">
      <c r="A240" s="13">
        <v>25</v>
      </c>
      <c r="B240" s="92" t="s">
        <v>167</v>
      </c>
      <c r="C240" s="45"/>
      <c r="D240" s="44">
        <v>1170</v>
      </c>
      <c r="E240" s="44">
        <v>160</v>
      </c>
      <c r="F240" s="44">
        <v>1186</v>
      </c>
      <c r="G240" s="44">
        <v>1170</v>
      </c>
      <c r="H240" s="44">
        <v>1170</v>
      </c>
      <c r="I240" s="44">
        <v>1170</v>
      </c>
      <c r="J240" s="44">
        <v>1170</v>
      </c>
      <c r="K240" s="44">
        <v>1170</v>
      </c>
      <c r="L240" s="44">
        <f>SUM(L241,L248,L251)</f>
        <v>14</v>
      </c>
      <c r="M240" s="44">
        <f>SUM(M241,M248,M251)</f>
        <v>9</v>
      </c>
      <c r="N240" s="44">
        <f>SUM(N241,N248,N251)</f>
        <v>6</v>
      </c>
      <c r="O240" s="44">
        <f>SUM(O241,O248,O251)</f>
        <v>5</v>
      </c>
      <c r="P240" s="44">
        <f>SUM(P241,P248,P251)</f>
        <v>3</v>
      </c>
      <c r="Q240" s="123">
        <f>Q241</f>
        <v>0</v>
      </c>
      <c r="R240" s="44">
        <f>R241</f>
        <v>0</v>
      </c>
      <c r="S240" s="44">
        <f>S241</f>
        <v>0</v>
      </c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  <c r="CG240" s="56"/>
      <c r="CH240" s="56"/>
      <c r="CI240" s="56"/>
      <c r="CJ240" s="56"/>
      <c r="CK240" s="56"/>
      <c r="CL240" s="56"/>
      <c r="CM240" s="56"/>
      <c r="CN240" s="56"/>
      <c r="CO240" s="56"/>
      <c r="CP240" s="56"/>
      <c r="CQ240" s="56"/>
      <c r="CR240" s="56"/>
      <c r="CS240" s="56"/>
      <c r="CT240" s="56"/>
      <c r="CU240" s="56"/>
      <c r="CV240" s="56"/>
      <c r="CW240" s="56"/>
      <c r="CX240" s="56"/>
      <c r="CY240" s="56"/>
      <c r="CZ240" s="56"/>
      <c r="DA240" s="56"/>
      <c r="DB240" s="56"/>
      <c r="DC240" s="56"/>
      <c r="DD240" s="56"/>
      <c r="DE240" s="56"/>
      <c r="DF240" s="56"/>
      <c r="DG240" s="56"/>
      <c r="DH240" s="56"/>
      <c r="DI240" s="56"/>
      <c r="DJ240" s="56"/>
      <c r="DK240" s="56"/>
      <c r="DL240" s="56"/>
      <c r="DM240" s="56"/>
      <c r="DN240" s="56"/>
      <c r="DO240" s="56"/>
      <c r="DP240" s="56"/>
      <c r="DQ240" s="56"/>
      <c r="DR240" s="56"/>
      <c r="DS240" s="56"/>
      <c r="DT240" s="56"/>
      <c r="DU240" s="56"/>
      <c r="DV240" s="56"/>
      <c r="DW240" s="56"/>
      <c r="DX240" s="56"/>
      <c r="DY240" s="56"/>
      <c r="DZ240" s="56"/>
      <c r="EA240" s="56"/>
      <c r="EB240" s="56"/>
      <c r="EC240" s="56"/>
      <c r="ED240" s="56"/>
      <c r="EE240" s="56"/>
      <c r="EF240" s="56"/>
      <c r="EG240" s="56"/>
      <c r="EH240" s="56"/>
      <c r="EI240" s="56"/>
      <c r="EJ240" s="56"/>
      <c r="EK240" s="56"/>
      <c r="EL240" s="56"/>
      <c r="EM240" s="56"/>
      <c r="EN240" s="56"/>
      <c r="EO240" s="56"/>
      <c r="EP240" s="56"/>
      <c r="EQ240" s="56"/>
      <c r="ER240" s="56"/>
      <c r="ES240" s="56"/>
      <c r="ET240" s="56"/>
      <c r="EU240" s="56"/>
      <c r="EV240" s="56"/>
      <c r="EW240" s="56"/>
      <c r="EX240" s="56"/>
      <c r="EY240" s="56"/>
      <c r="EZ240" s="56"/>
      <c r="FA240" s="56"/>
      <c r="FB240" s="56"/>
      <c r="FC240" s="56"/>
      <c r="FD240" s="56"/>
      <c r="FE240" s="56"/>
      <c r="FF240" s="56"/>
      <c r="FG240" s="56"/>
      <c r="FH240" s="56"/>
      <c r="FI240" s="56"/>
      <c r="FJ240" s="56"/>
      <c r="FK240" s="56"/>
      <c r="FL240" s="56"/>
      <c r="FM240" s="56"/>
      <c r="FN240" s="56"/>
      <c r="FO240" s="56"/>
      <c r="FP240" s="56"/>
      <c r="FQ240" s="56"/>
      <c r="FR240" s="56"/>
      <c r="FS240" s="56"/>
      <c r="FT240" s="56"/>
      <c r="FU240" s="56"/>
      <c r="FV240" s="56"/>
      <c r="FW240" s="56"/>
      <c r="FX240" s="56"/>
      <c r="FY240" s="56"/>
      <c r="FZ240" s="56"/>
      <c r="GA240" s="56"/>
      <c r="GB240" s="56"/>
      <c r="GC240" s="56"/>
      <c r="GD240" s="56"/>
      <c r="GE240" s="56"/>
      <c r="GF240" s="56"/>
    </row>
    <row r="241" spans="1:48" s="18" customFormat="1" ht="16.5" customHeight="1">
      <c r="A241" s="50"/>
      <c r="B241" s="93" t="s">
        <v>669</v>
      </c>
      <c r="C241" s="16"/>
      <c r="D241" s="52"/>
      <c r="E241" s="52"/>
      <c r="F241" s="52"/>
      <c r="G241" s="52"/>
      <c r="H241" s="52"/>
      <c r="I241" s="52"/>
      <c r="J241" s="52"/>
      <c r="K241" s="52"/>
      <c r="L241" s="60">
        <f>SUM(L242:L247)</f>
        <v>7</v>
      </c>
      <c r="M241" s="60">
        <f>SUM(M242:M247)</f>
        <v>6</v>
      </c>
      <c r="N241" s="60">
        <f>SUM(N242:N247)</f>
        <v>4</v>
      </c>
      <c r="O241" s="60">
        <f>SUM(O242:O247)</f>
        <v>4</v>
      </c>
      <c r="P241" s="60">
        <f>SUM(P242:P247)</f>
        <v>2</v>
      </c>
      <c r="Q241" s="23"/>
      <c r="R241" s="23"/>
      <c r="S241" s="1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</row>
    <row r="242" spans="1:48" s="27" customFormat="1" ht="15.75" customHeight="1">
      <c r="A242" s="12"/>
      <c r="B242" s="97" t="s">
        <v>560</v>
      </c>
      <c r="C242" s="29" t="s">
        <v>741</v>
      </c>
      <c r="D242" s="51"/>
      <c r="E242" s="51"/>
      <c r="F242" s="51">
        <v>72</v>
      </c>
      <c r="G242" s="51">
        <v>55</v>
      </c>
      <c r="H242" s="51">
        <v>55</v>
      </c>
      <c r="I242" s="51">
        <v>55</v>
      </c>
      <c r="J242" s="51">
        <v>55</v>
      </c>
      <c r="K242" s="51">
        <v>55</v>
      </c>
      <c r="L242" s="40">
        <v>1</v>
      </c>
      <c r="M242" s="40">
        <v>2</v>
      </c>
      <c r="N242" s="40">
        <v>1</v>
      </c>
      <c r="O242" s="40">
        <v>2</v>
      </c>
      <c r="P242" s="40">
        <v>1</v>
      </c>
      <c r="Q242" s="33"/>
      <c r="R242" s="28"/>
      <c r="S242" s="2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</row>
    <row r="243" spans="1:48" s="27" customFormat="1" ht="17.25" customHeight="1">
      <c r="A243" s="12"/>
      <c r="B243" s="97" t="s">
        <v>448</v>
      </c>
      <c r="C243" s="29" t="s">
        <v>449</v>
      </c>
      <c r="D243" s="51"/>
      <c r="E243" s="51"/>
      <c r="F243" s="51">
        <v>132</v>
      </c>
      <c r="G243" s="51">
        <v>5</v>
      </c>
      <c r="H243" s="51">
        <v>5</v>
      </c>
      <c r="I243" s="51">
        <v>5</v>
      </c>
      <c r="J243" s="51">
        <v>5</v>
      </c>
      <c r="K243" s="51">
        <v>5</v>
      </c>
      <c r="L243" s="40">
        <v>1</v>
      </c>
      <c r="M243" s="40">
        <v>1</v>
      </c>
      <c r="N243" s="40" t="s">
        <v>556</v>
      </c>
      <c r="O243" s="40" t="s">
        <v>556</v>
      </c>
      <c r="P243" s="40" t="s">
        <v>556</v>
      </c>
      <c r="Q243" s="33"/>
      <c r="R243" s="28"/>
      <c r="S243" s="2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</row>
    <row r="244" spans="1:48" s="27" customFormat="1" ht="18" customHeight="1">
      <c r="A244" s="12"/>
      <c r="B244" s="97" t="s">
        <v>564</v>
      </c>
      <c r="C244" s="29" t="s">
        <v>565</v>
      </c>
      <c r="D244" s="51"/>
      <c r="E244" s="51"/>
      <c r="F244" s="51"/>
      <c r="G244" s="51">
        <v>21</v>
      </c>
      <c r="H244" s="51">
        <v>21</v>
      </c>
      <c r="I244" s="51">
        <v>21</v>
      </c>
      <c r="J244" s="51">
        <v>21</v>
      </c>
      <c r="K244" s="51">
        <v>21</v>
      </c>
      <c r="L244" s="40">
        <v>1</v>
      </c>
      <c r="M244" s="40">
        <v>1</v>
      </c>
      <c r="N244" s="40">
        <v>1</v>
      </c>
      <c r="O244" s="40">
        <v>1</v>
      </c>
      <c r="P244" s="40" t="s">
        <v>556</v>
      </c>
      <c r="Q244" s="33"/>
      <c r="R244" s="28"/>
      <c r="S244" s="2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</row>
    <row r="245" spans="1:48" s="27" customFormat="1" ht="15.75" customHeight="1">
      <c r="A245" s="12"/>
      <c r="B245" s="97" t="s">
        <v>599</v>
      </c>
      <c r="C245" s="15" t="s">
        <v>600</v>
      </c>
      <c r="D245" s="51"/>
      <c r="E245" s="51"/>
      <c r="F245" s="51"/>
      <c r="G245" s="51">
        <v>11</v>
      </c>
      <c r="H245" s="51">
        <v>11</v>
      </c>
      <c r="I245" s="51">
        <v>11</v>
      </c>
      <c r="J245" s="51">
        <v>11</v>
      </c>
      <c r="K245" s="51">
        <v>11</v>
      </c>
      <c r="L245" s="40">
        <v>1</v>
      </c>
      <c r="M245" s="40" t="s">
        <v>556</v>
      </c>
      <c r="N245" s="40">
        <v>1</v>
      </c>
      <c r="O245" s="40" t="s">
        <v>556</v>
      </c>
      <c r="P245" s="40" t="s">
        <v>556</v>
      </c>
      <c r="Q245" s="33"/>
      <c r="R245" s="28"/>
      <c r="S245" s="2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</row>
    <row r="246" spans="1:48" s="27" customFormat="1" ht="19.5" customHeight="1">
      <c r="A246" s="12"/>
      <c r="B246" s="97" t="s">
        <v>1292</v>
      </c>
      <c r="C246" s="29" t="s">
        <v>1293</v>
      </c>
      <c r="D246" s="51"/>
      <c r="E246" s="51"/>
      <c r="F246" s="51"/>
      <c r="G246" s="51">
        <v>1</v>
      </c>
      <c r="H246" s="51">
        <v>1</v>
      </c>
      <c r="I246" s="51">
        <v>1</v>
      </c>
      <c r="J246" s="51">
        <v>1</v>
      </c>
      <c r="K246" s="51">
        <v>1</v>
      </c>
      <c r="L246" s="40">
        <v>1</v>
      </c>
      <c r="M246" s="40" t="s">
        <v>556</v>
      </c>
      <c r="N246" s="40" t="s">
        <v>556</v>
      </c>
      <c r="O246" s="40" t="s">
        <v>556</v>
      </c>
      <c r="P246" s="40" t="s">
        <v>556</v>
      </c>
      <c r="Q246" s="33"/>
      <c r="R246" s="28"/>
      <c r="S246" s="2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</row>
    <row r="247" spans="1:48" s="27" customFormat="1" ht="15.75" customHeight="1">
      <c r="A247" s="12"/>
      <c r="B247" s="97" t="s">
        <v>594</v>
      </c>
      <c r="C247" s="29" t="s">
        <v>783</v>
      </c>
      <c r="D247" s="51"/>
      <c r="E247" s="51"/>
      <c r="F247" s="51">
        <v>51</v>
      </c>
      <c r="G247" s="51">
        <v>61</v>
      </c>
      <c r="H247" s="51">
        <v>61</v>
      </c>
      <c r="I247" s="51">
        <v>61</v>
      </c>
      <c r="J247" s="51">
        <v>61</v>
      </c>
      <c r="K247" s="51">
        <v>61</v>
      </c>
      <c r="L247" s="40">
        <v>2</v>
      </c>
      <c r="M247" s="40">
        <v>2</v>
      </c>
      <c r="N247" s="40">
        <v>1</v>
      </c>
      <c r="O247" s="40">
        <v>1</v>
      </c>
      <c r="P247" s="40">
        <v>1</v>
      </c>
      <c r="Q247" s="33"/>
      <c r="R247" s="28"/>
      <c r="S247" s="2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</row>
    <row r="248" spans="1:48" s="18" customFormat="1" ht="17.25" customHeight="1">
      <c r="A248" s="50"/>
      <c r="B248" s="93" t="s">
        <v>670</v>
      </c>
      <c r="C248" s="16"/>
      <c r="D248" s="52"/>
      <c r="E248" s="52"/>
      <c r="F248" s="52"/>
      <c r="G248" s="52"/>
      <c r="H248" s="52"/>
      <c r="I248" s="52"/>
      <c r="J248" s="52"/>
      <c r="K248" s="52"/>
      <c r="L248" s="60">
        <v>2</v>
      </c>
      <c r="M248" s="60" t="str">
        <f>M249</f>
        <v> -</v>
      </c>
      <c r="N248" s="60"/>
      <c r="O248" s="60" t="str">
        <f>O249</f>
        <v> -</v>
      </c>
      <c r="P248" s="60" t="str">
        <f>P249</f>
        <v> -</v>
      </c>
      <c r="Q248" s="23"/>
      <c r="R248" s="23"/>
      <c r="S248" s="1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</row>
    <row r="249" spans="1:48" s="27" customFormat="1" ht="20.25" customHeight="1">
      <c r="A249" s="12"/>
      <c r="B249" s="97" t="s">
        <v>65</v>
      </c>
      <c r="C249" s="29" t="s">
        <v>66</v>
      </c>
      <c r="D249" s="51"/>
      <c r="E249" s="51"/>
      <c r="F249" s="51" t="s">
        <v>556</v>
      </c>
      <c r="G249" s="51">
        <v>1</v>
      </c>
      <c r="H249" s="51">
        <v>1</v>
      </c>
      <c r="I249" s="51">
        <v>1</v>
      </c>
      <c r="J249" s="51">
        <v>1</v>
      </c>
      <c r="K249" s="51">
        <v>1</v>
      </c>
      <c r="L249" s="40">
        <v>1</v>
      </c>
      <c r="M249" s="40" t="s">
        <v>556</v>
      </c>
      <c r="N249" s="40" t="s">
        <v>556</v>
      </c>
      <c r="O249" s="40" t="s">
        <v>556</v>
      </c>
      <c r="P249" s="40" t="s">
        <v>556</v>
      </c>
      <c r="Q249" s="33"/>
      <c r="R249" s="33"/>
      <c r="S249" s="33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</row>
    <row r="250" spans="1:48" s="27" customFormat="1" ht="17.25" customHeight="1">
      <c r="A250" s="12"/>
      <c r="B250" s="97" t="s">
        <v>1054</v>
      </c>
      <c r="C250" s="15" t="s">
        <v>1055</v>
      </c>
      <c r="D250" s="51"/>
      <c r="E250" s="51"/>
      <c r="F250" s="51"/>
      <c r="G250" s="51">
        <v>1</v>
      </c>
      <c r="H250" s="51">
        <v>1</v>
      </c>
      <c r="I250" s="51">
        <v>1</v>
      </c>
      <c r="J250" s="51">
        <v>1</v>
      </c>
      <c r="K250" s="51">
        <v>1</v>
      </c>
      <c r="L250" s="40">
        <v>1</v>
      </c>
      <c r="M250" s="40" t="s">
        <v>556</v>
      </c>
      <c r="N250" s="40" t="s">
        <v>556</v>
      </c>
      <c r="O250" s="40" t="s">
        <v>556</v>
      </c>
      <c r="P250" s="40" t="s">
        <v>556</v>
      </c>
      <c r="Q250" s="33"/>
      <c r="R250" s="33"/>
      <c r="S250" s="33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</row>
    <row r="251" spans="1:48" s="18" customFormat="1" ht="15.75" customHeight="1">
      <c r="A251" s="50"/>
      <c r="B251" s="93" t="s">
        <v>37</v>
      </c>
      <c r="C251" s="16"/>
      <c r="D251" s="52"/>
      <c r="E251" s="52"/>
      <c r="F251" s="52"/>
      <c r="G251" s="52"/>
      <c r="H251" s="52"/>
      <c r="I251" s="52"/>
      <c r="J251" s="52"/>
      <c r="K251" s="52"/>
      <c r="L251" s="60">
        <f>SUM(L252:L257)</f>
        <v>5</v>
      </c>
      <c r="M251" s="60">
        <f>SUM(M252:M257)</f>
        <v>3</v>
      </c>
      <c r="N251" s="60">
        <f>SUM(N252:N257)</f>
        <v>2</v>
      </c>
      <c r="O251" s="60">
        <f>SUM(O252:O257)</f>
        <v>1</v>
      </c>
      <c r="P251" s="60">
        <f>SUM(P252:P257)</f>
        <v>1</v>
      </c>
      <c r="Q251" s="23"/>
      <c r="R251" s="23"/>
      <c r="S251" s="1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</row>
    <row r="252" spans="1:48" s="27" customFormat="1" ht="20.25" customHeight="1">
      <c r="A252" s="12"/>
      <c r="B252" s="97" t="s">
        <v>811</v>
      </c>
      <c r="C252" s="15" t="s">
        <v>812</v>
      </c>
      <c r="D252" s="51"/>
      <c r="E252" s="51"/>
      <c r="F252" s="51"/>
      <c r="G252" s="51">
        <v>9</v>
      </c>
      <c r="H252" s="51">
        <v>9</v>
      </c>
      <c r="I252" s="51">
        <v>9</v>
      </c>
      <c r="J252" s="51">
        <v>9</v>
      </c>
      <c r="K252" s="51">
        <v>9</v>
      </c>
      <c r="L252" s="40">
        <v>1</v>
      </c>
      <c r="M252" s="40" t="s">
        <v>556</v>
      </c>
      <c r="N252" s="40">
        <v>1</v>
      </c>
      <c r="O252" s="40" t="s">
        <v>556</v>
      </c>
      <c r="P252" s="40" t="s">
        <v>556</v>
      </c>
      <c r="Q252" s="33"/>
      <c r="R252" s="33"/>
      <c r="S252" s="33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</row>
    <row r="253" spans="1:48" s="27" customFormat="1" ht="19.5" customHeight="1">
      <c r="A253" s="12"/>
      <c r="B253" s="97" t="s">
        <v>867</v>
      </c>
      <c r="C253" s="29" t="s">
        <v>868</v>
      </c>
      <c r="D253" s="51"/>
      <c r="E253" s="51"/>
      <c r="F253" s="51" t="s">
        <v>556</v>
      </c>
      <c r="G253" s="51" t="s">
        <v>866</v>
      </c>
      <c r="H253" s="51" t="s">
        <v>866</v>
      </c>
      <c r="I253" s="51" t="s">
        <v>866</v>
      </c>
      <c r="J253" s="51">
        <v>1</v>
      </c>
      <c r="K253" s="51" t="s">
        <v>866</v>
      </c>
      <c r="L253" s="40">
        <v>1</v>
      </c>
      <c r="M253" s="40" t="s">
        <v>556</v>
      </c>
      <c r="N253" s="40" t="s">
        <v>556</v>
      </c>
      <c r="O253" s="40" t="s">
        <v>556</v>
      </c>
      <c r="P253" s="40" t="s">
        <v>556</v>
      </c>
      <c r="Q253" s="33"/>
      <c r="R253" s="33"/>
      <c r="S253" s="33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</row>
    <row r="254" spans="1:48" s="27" customFormat="1" ht="18.75" customHeight="1">
      <c r="A254" s="12"/>
      <c r="B254" s="97" t="s">
        <v>38</v>
      </c>
      <c r="C254" s="65" t="s">
        <v>457</v>
      </c>
      <c r="D254" s="51"/>
      <c r="E254" s="51"/>
      <c r="F254" s="51" t="s">
        <v>556</v>
      </c>
      <c r="G254" s="51">
        <v>1</v>
      </c>
      <c r="H254" s="51">
        <v>1</v>
      </c>
      <c r="I254" s="51">
        <v>1</v>
      </c>
      <c r="J254" s="51">
        <v>1</v>
      </c>
      <c r="K254" s="51">
        <v>1</v>
      </c>
      <c r="L254" s="40" t="s">
        <v>556</v>
      </c>
      <c r="M254" s="40">
        <v>1</v>
      </c>
      <c r="N254" s="40" t="s">
        <v>556</v>
      </c>
      <c r="O254" s="40" t="s">
        <v>556</v>
      </c>
      <c r="P254" s="40" t="s">
        <v>556</v>
      </c>
      <c r="Q254" s="33"/>
      <c r="R254" s="33"/>
      <c r="S254" s="33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</row>
    <row r="255" spans="1:48" s="27" customFormat="1" ht="18.75" customHeight="1">
      <c r="A255" s="12"/>
      <c r="B255" s="106" t="s">
        <v>262</v>
      </c>
      <c r="C255" s="66" t="s">
        <v>1358</v>
      </c>
      <c r="D255" s="51"/>
      <c r="E255" s="51"/>
      <c r="F255" s="51"/>
      <c r="G255" s="51">
        <v>2</v>
      </c>
      <c r="H255" s="51">
        <v>2</v>
      </c>
      <c r="I255" s="51">
        <v>2</v>
      </c>
      <c r="J255" s="51">
        <v>2</v>
      </c>
      <c r="K255" s="51">
        <v>2</v>
      </c>
      <c r="L255" s="40">
        <v>1</v>
      </c>
      <c r="M255" s="40" t="s">
        <v>556</v>
      </c>
      <c r="N255" s="40" t="s">
        <v>556</v>
      </c>
      <c r="O255" s="40" t="s">
        <v>556</v>
      </c>
      <c r="P255" s="40" t="s">
        <v>556</v>
      </c>
      <c r="Q255" s="33"/>
      <c r="R255" s="33"/>
      <c r="S255" s="33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</row>
    <row r="256" spans="1:48" s="27" customFormat="1" ht="20.25" customHeight="1">
      <c r="A256" s="12"/>
      <c r="B256" s="97" t="s">
        <v>869</v>
      </c>
      <c r="C256" s="29" t="s">
        <v>886</v>
      </c>
      <c r="D256" s="51"/>
      <c r="E256" s="51"/>
      <c r="F256" s="51" t="s">
        <v>556</v>
      </c>
      <c r="G256" s="51">
        <v>2</v>
      </c>
      <c r="H256" s="51">
        <v>2</v>
      </c>
      <c r="I256" s="51">
        <v>2</v>
      </c>
      <c r="J256" s="51">
        <v>2</v>
      </c>
      <c r="K256" s="51">
        <v>2</v>
      </c>
      <c r="L256" s="40">
        <v>1</v>
      </c>
      <c r="M256" s="40">
        <v>1</v>
      </c>
      <c r="N256" s="40" t="s">
        <v>556</v>
      </c>
      <c r="O256" s="40" t="s">
        <v>556</v>
      </c>
      <c r="P256" s="40" t="s">
        <v>556</v>
      </c>
      <c r="Q256" s="33"/>
      <c r="R256" s="33"/>
      <c r="S256" s="33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</row>
    <row r="257" spans="1:48" s="27" customFormat="1" ht="33" customHeight="1">
      <c r="A257" s="12"/>
      <c r="B257" s="97" t="s">
        <v>746</v>
      </c>
      <c r="C257" s="29" t="s">
        <v>747</v>
      </c>
      <c r="D257" s="51"/>
      <c r="E257" s="51"/>
      <c r="F257" s="51" t="s">
        <v>556</v>
      </c>
      <c r="G257" s="51">
        <v>1</v>
      </c>
      <c r="H257" s="51">
        <v>1</v>
      </c>
      <c r="I257" s="51">
        <v>1</v>
      </c>
      <c r="J257" s="51">
        <v>1</v>
      </c>
      <c r="K257" s="51">
        <v>1</v>
      </c>
      <c r="L257" s="40">
        <v>1</v>
      </c>
      <c r="M257" s="40">
        <v>1</v>
      </c>
      <c r="N257" s="40">
        <v>1</v>
      </c>
      <c r="O257" s="40">
        <v>1</v>
      </c>
      <c r="P257" s="40">
        <v>1</v>
      </c>
      <c r="Q257" s="33"/>
      <c r="R257" s="33"/>
      <c r="S257" s="33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</row>
    <row r="258" spans="1:188" s="57" customFormat="1" ht="18" customHeight="1">
      <c r="A258" s="13">
        <v>26</v>
      </c>
      <c r="B258" s="92" t="s">
        <v>168</v>
      </c>
      <c r="C258" s="45"/>
      <c r="D258" s="44">
        <v>678</v>
      </c>
      <c r="E258" s="44">
        <v>46</v>
      </c>
      <c r="F258" s="44">
        <v>854</v>
      </c>
      <c r="G258" s="44">
        <v>678</v>
      </c>
      <c r="H258" s="44">
        <v>678</v>
      </c>
      <c r="I258" s="44">
        <v>678</v>
      </c>
      <c r="J258" s="44">
        <v>678</v>
      </c>
      <c r="K258" s="44">
        <v>678</v>
      </c>
      <c r="L258" s="44">
        <f aca="true" t="shared" si="3" ref="L258:S258">L259</f>
        <v>5</v>
      </c>
      <c r="M258" s="44">
        <f t="shared" si="3"/>
        <v>3</v>
      </c>
      <c r="N258" s="44">
        <f t="shared" si="3"/>
        <v>1</v>
      </c>
      <c r="O258" s="44" t="str">
        <f t="shared" si="3"/>
        <v> -</v>
      </c>
      <c r="P258" s="44" t="str">
        <f t="shared" si="3"/>
        <v> -</v>
      </c>
      <c r="Q258" s="123">
        <f t="shared" si="3"/>
        <v>0</v>
      </c>
      <c r="R258" s="44">
        <f t="shared" si="3"/>
        <v>0</v>
      </c>
      <c r="S258" s="44">
        <f t="shared" si="3"/>
        <v>0</v>
      </c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  <c r="BV258" s="56"/>
      <c r="BW258" s="56"/>
      <c r="BX258" s="56"/>
      <c r="BY258" s="56"/>
      <c r="BZ258" s="56"/>
      <c r="CA258" s="56"/>
      <c r="CB258" s="56"/>
      <c r="CC258" s="56"/>
      <c r="CD258" s="56"/>
      <c r="CE258" s="56"/>
      <c r="CF258" s="56"/>
      <c r="CG258" s="56"/>
      <c r="CH258" s="56"/>
      <c r="CI258" s="56"/>
      <c r="CJ258" s="56"/>
      <c r="CK258" s="56"/>
      <c r="CL258" s="56"/>
      <c r="CM258" s="56"/>
      <c r="CN258" s="56"/>
      <c r="CO258" s="56"/>
      <c r="CP258" s="56"/>
      <c r="CQ258" s="56"/>
      <c r="CR258" s="56"/>
      <c r="CS258" s="56"/>
      <c r="CT258" s="56"/>
      <c r="CU258" s="56"/>
      <c r="CV258" s="56"/>
      <c r="CW258" s="56"/>
      <c r="CX258" s="56"/>
      <c r="CY258" s="56"/>
      <c r="CZ258" s="56"/>
      <c r="DA258" s="56"/>
      <c r="DB258" s="56"/>
      <c r="DC258" s="56"/>
      <c r="DD258" s="56"/>
      <c r="DE258" s="56"/>
      <c r="DF258" s="56"/>
      <c r="DG258" s="56"/>
      <c r="DH258" s="56"/>
      <c r="DI258" s="56"/>
      <c r="DJ258" s="56"/>
      <c r="DK258" s="56"/>
      <c r="DL258" s="56"/>
      <c r="DM258" s="56"/>
      <c r="DN258" s="56"/>
      <c r="DO258" s="56"/>
      <c r="DP258" s="56"/>
      <c r="DQ258" s="56"/>
      <c r="DR258" s="56"/>
      <c r="DS258" s="56"/>
      <c r="DT258" s="56"/>
      <c r="DU258" s="56"/>
      <c r="DV258" s="56"/>
      <c r="DW258" s="56"/>
      <c r="DX258" s="56"/>
      <c r="DY258" s="56"/>
      <c r="DZ258" s="56"/>
      <c r="EA258" s="56"/>
      <c r="EB258" s="56"/>
      <c r="EC258" s="56"/>
      <c r="ED258" s="56"/>
      <c r="EE258" s="56"/>
      <c r="EF258" s="56"/>
      <c r="EG258" s="56"/>
      <c r="EH258" s="56"/>
      <c r="EI258" s="56"/>
      <c r="EJ258" s="56"/>
      <c r="EK258" s="56"/>
      <c r="EL258" s="56"/>
      <c r="EM258" s="56"/>
      <c r="EN258" s="56"/>
      <c r="EO258" s="56"/>
      <c r="EP258" s="56"/>
      <c r="EQ258" s="56"/>
      <c r="ER258" s="56"/>
      <c r="ES258" s="56"/>
      <c r="ET258" s="56"/>
      <c r="EU258" s="56"/>
      <c r="EV258" s="56"/>
      <c r="EW258" s="56"/>
      <c r="EX258" s="56"/>
      <c r="EY258" s="56"/>
      <c r="EZ258" s="56"/>
      <c r="FA258" s="56"/>
      <c r="FB258" s="56"/>
      <c r="FC258" s="56"/>
      <c r="FD258" s="56"/>
      <c r="FE258" s="56"/>
      <c r="FF258" s="56"/>
      <c r="FG258" s="56"/>
      <c r="FH258" s="56"/>
      <c r="FI258" s="56"/>
      <c r="FJ258" s="56"/>
      <c r="FK258" s="56"/>
      <c r="FL258" s="56"/>
      <c r="FM258" s="56"/>
      <c r="FN258" s="56"/>
      <c r="FO258" s="56"/>
      <c r="FP258" s="56"/>
      <c r="FQ258" s="56"/>
      <c r="FR258" s="56"/>
      <c r="FS258" s="56"/>
      <c r="FT258" s="56"/>
      <c r="FU258" s="56"/>
      <c r="FV258" s="56"/>
      <c r="FW258" s="56"/>
      <c r="FX258" s="56"/>
      <c r="FY258" s="56"/>
      <c r="FZ258" s="56"/>
      <c r="GA258" s="56"/>
      <c r="GB258" s="56"/>
      <c r="GC258" s="56"/>
      <c r="GD258" s="56"/>
      <c r="GE258" s="56"/>
      <c r="GF258" s="56"/>
    </row>
    <row r="259" spans="1:48" s="18" customFormat="1" ht="17.25" customHeight="1">
      <c r="A259" s="50"/>
      <c r="B259" s="93" t="s">
        <v>669</v>
      </c>
      <c r="C259" s="16"/>
      <c r="D259" s="52"/>
      <c r="E259" s="52"/>
      <c r="F259" s="52"/>
      <c r="G259" s="52"/>
      <c r="H259" s="52"/>
      <c r="I259" s="52"/>
      <c r="J259" s="52"/>
      <c r="K259" s="52"/>
      <c r="L259" s="60">
        <f>SUM(L260:L261)</f>
        <v>5</v>
      </c>
      <c r="M259" s="60">
        <f>SUM(M260:M261)</f>
        <v>3</v>
      </c>
      <c r="N259" s="60">
        <f>SUM(N260:N261)</f>
        <v>1</v>
      </c>
      <c r="O259" s="60" t="s">
        <v>556</v>
      </c>
      <c r="P259" s="60" t="s">
        <v>556</v>
      </c>
      <c r="Q259" s="23"/>
      <c r="R259" s="23"/>
      <c r="S259" s="1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</row>
    <row r="260" spans="1:48" s="27" customFormat="1" ht="15.75" customHeight="1">
      <c r="A260" s="12"/>
      <c r="B260" s="97" t="s">
        <v>547</v>
      </c>
      <c r="C260" s="29" t="s">
        <v>548</v>
      </c>
      <c r="D260" s="51"/>
      <c r="E260" s="51"/>
      <c r="F260" s="51">
        <v>158</v>
      </c>
      <c r="G260" s="51">
        <v>180</v>
      </c>
      <c r="H260" s="51">
        <v>180</v>
      </c>
      <c r="I260" s="51">
        <v>180</v>
      </c>
      <c r="J260" s="51">
        <v>180</v>
      </c>
      <c r="K260" s="51">
        <v>180</v>
      </c>
      <c r="L260" s="40">
        <v>4</v>
      </c>
      <c r="M260" s="40">
        <v>3</v>
      </c>
      <c r="N260" s="40">
        <v>1</v>
      </c>
      <c r="O260" s="40" t="s">
        <v>556</v>
      </c>
      <c r="P260" s="40" t="s">
        <v>556</v>
      </c>
      <c r="Q260" s="33"/>
      <c r="R260" s="28"/>
      <c r="S260" s="2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</row>
    <row r="261" spans="1:48" s="27" customFormat="1" ht="15.75" customHeight="1">
      <c r="A261" s="12"/>
      <c r="B261" s="97" t="s">
        <v>594</v>
      </c>
      <c r="C261" s="29" t="s">
        <v>783</v>
      </c>
      <c r="D261" s="51"/>
      <c r="E261" s="51"/>
      <c r="F261" s="51">
        <v>55</v>
      </c>
      <c r="G261" s="51">
        <v>38</v>
      </c>
      <c r="H261" s="51">
        <v>38</v>
      </c>
      <c r="I261" s="51">
        <v>38</v>
      </c>
      <c r="J261" s="51">
        <v>38</v>
      </c>
      <c r="K261" s="51">
        <v>38</v>
      </c>
      <c r="L261" s="40">
        <v>1</v>
      </c>
      <c r="M261" s="40" t="s">
        <v>556</v>
      </c>
      <c r="N261" s="40" t="s">
        <v>556</v>
      </c>
      <c r="O261" s="40" t="s">
        <v>556</v>
      </c>
      <c r="P261" s="40" t="s">
        <v>556</v>
      </c>
      <c r="Q261" s="33"/>
      <c r="R261" s="28"/>
      <c r="S261" s="2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</row>
    <row r="262" spans="1:188" s="205" customFormat="1" ht="19.5" customHeight="1">
      <c r="A262" s="13">
        <v>27</v>
      </c>
      <c r="B262" s="92" t="s">
        <v>169</v>
      </c>
      <c r="C262" s="45"/>
      <c r="D262" s="44">
        <v>556</v>
      </c>
      <c r="E262" s="44">
        <v>75</v>
      </c>
      <c r="F262" s="44">
        <v>537</v>
      </c>
      <c r="G262" s="44">
        <v>540</v>
      </c>
      <c r="H262" s="44">
        <v>540</v>
      </c>
      <c r="I262" s="44">
        <v>540</v>
      </c>
      <c r="J262" s="44">
        <v>540</v>
      </c>
      <c r="K262" s="44">
        <v>540</v>
      </c>
      <c r="L262" s="44"/>
      <c r="M262" s="44">
        <v>2</v>
      </c>
      <c r="N262" s="44">
        <v>3</v>
      </c>
      <c r="O262" s="44">
        <v>2</v>
      </c>
      <c r="P262" s="44">
        <v>1</v>
      </c>
      <c r="Q262" s="239">
        <f>Q263</f>
        <v>0</v>
      </c>
      <c r="R262" s="71">
        <f>R263</f>
        <v>0</v>
      </c>
      <c r="S262" s="71">
        <f>S263</f>
        <v>0</v>
      </c>
      <c r="T262" s="204"/>
      <c r="U262" s="204"/>
      <c r="V262" s="204"/>
      <c r="W262" s="204"/>
      <c r="X262" s="204"/>
      <c r="Y262" s="204"/>
      <c r="Z262" s="204"/>
      <c r="AA262" s="204"/>
      <c r="AB262" s="204"/>
      <c r="AC262" s="204"/>
      <c r="AD262" s="204"/>
      <c r="AE262" s="204"/>
      <c r="AF262" s="204"/>
      <c r="AG262" s="204"/>
      <c r="AH262" s="204"/>
      <c r="AI262" s="204"/>
      <c r="AJ262" s="204"/>
      <c r="AK262" s="204"/>
      <c r="AL262" s="204"/>
      <c r="AM262" s="204"/>
      <c r="AN262" s="204"/>
      <c r="AO262" s="204"/>
      <c r="AP262" s="204"/>
      <c r="AQ262" s="204"/>
      <c r="AR262" s="204"/>
      <c r="AS262" s="204"/>
      <c r="AT262" s="204"/>
      <c r="AU262" s="204"/>
      <c r="AV262" s="204"/>
      <c r="AW262" s="204"/>
      <c r="AX262" s="204"/>
      <c r="AY262" s="204"/>
      <c r="AZ262" s="204"/>
      <c r="BA262" s="204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  <c r="BZ262" s="204"/>
      <c r="CA262" s="204"/>
      <c r="CB262" s="204"/>
      <c r="CC262" s="204"/>
      <c r="CD262" s="204"/>
      <c r="CE262" s="204"/>
      <c r="CF262" s="204"/>
      <c r="CG262" s="204"/>
      <c r="CH262" s="204"/>
      <c r="CI262" s="204"/>
      <c r="CJ262" s="204"/>
      <c r="CK262" s="204"/>
      <c r="CL262" s="204"/>
      <c r="CM262" s="204"/>
      <c r="CN262" s="204"/>
      <c r="CO262" s="204"/>
      <c r="CP262" s="204"/>
      <c r="CQ262" s="204"/>
      <c r="CR262" s="204"/>
      <c r="CS262" s="204"/>
      <c r="CT262" s="204"/>
      <c r="CU262" s="204"/>
      <c r="CV262" s="204"/>
      <c r="CW262" s="204"/>
      <c r="CX262" s="204"/>
      <c r="CY262" s="204"/>
      <c r="CZ262" s="204"/>
      <c r="DA262" s="204"/>
      <c r="DB262" s="204"/>
      <c r="DC262" s="204"/>
      <c r="DD262" s="204"/>
      <c r="DE262" s="204"/>
      <c r="DF262" s="204"/>
      <c r="DG262" s="204"/>
      <c r="DH262" s="204"/>
      <c r="DI262" s="204"/>
      <c r="DJ262" s="204"/>
      <c r="DK262" s="204"/>
      <c r="DL262" s="204"/>
      <c r="DM262" s="204"/>
      <c r="DN262" s="204"/>
      <c r="DO262" s="204"/>
      <c r="DP262" s="204"/>
      <c r="DQ262" s="204"/>
      <c r="DR262" s="204"/>
      <c r="DS262" s="204"/>
      <c r="DT262" s="204"/>
      <c r="DU262" s="204"/>
      <c r="DV262" s="204"/>
      <c r="DW262" s="204"/>
      <c r="DX262" s="204"/>
      <c r="DY262" s="204"/>
      <c r="DZ262" s="204"/>
      <c r="EA262" s="204"/>
      <c r="EB262" s="204"/>
      <c r="EC262" s="204"/>
      <c r="ED262" s="204"/>
      <c r="EE262" s="204"/>
      <c r="EF262" s="204"/>
      <c r="EG262" s="204"/>
      <c r="EH262" s="204"/>
      <c r="EI262" s="204"/>
      <c r="EJ262" s="204"/>
      <c r="EK262" s="204"/>
      <c r="EL262" s="204"/>
      <c r="EM262" s="204"/>
      <c r="EN262" s="204"/>
      <c r="EO262" s="204"/>
      <c r="EP262" s="204"/>
      <c r="EQ262" s="204"/>
      <c r="ER262" s="204"/>
      <c r="ES262" s="204"/>
      <c r="ET262" s="204"/>
      <c r="EU262" s="204"/>
      <c r="EV262" s="204"/>
      <c r="EW262" s="204"/>
      <c r="EX262" s="204"/>
      <c r="EY262" s="204"/>
      <c r="EZ262" s="204"/>
      <c r="FA262" s="204"/>
      <c r="FB262" s="204"/>
      <c r="FC262" s="204"/>
      <c r="FD262" s="204"/>
      <c r="FE262" s="204"/>
      <c r="FF262" s="204"/>
      <c r="FG262" s="204"/>
      <c r="FH262" s="204"/>
      <c r="FI262" s="204"/>
      <c r="FJ262" s="204"/>
      <c r="FK262" s="204"/>
      <c r="FL262" s="204"/>
      <c r="FM262" s="204"/>
      <c r="FN262" s="204"/>
      <c r="FO262" s="204"/>
      <c r="FP262" s="204"/>
      <c r="FQ262" s="204"/>
      <c r="FR262" s="204"/>
      <c r="FS262" s="204"/>
      <c r="FT262" s="204"/>
      <c r="FU262" s="204"/>
      <c r="FV262" s="204"/>
      <c r="FW262" s="204"/>
      <c r="FX262" s="204"/>
      <c r="FY262" s="204"/>
      <c r="FZ262" s="204"/>
      <c r="GA262" s="204"/>
      <c r="GB262" s="204"/>
      <c r="GC262" s="204"/>
      <c r="GD262" s="204"/>
      <c r="GE262" s="204"/>
      <c r="GF262" s="204"/>
    </row>
    <row r="263" spans="1:19" s="207" customFormat="1" ht="15.75" customHeight="1">
      <c r="A263" s="50"/>
      <c r="B263" s="93" t="s">
        <v>669</v>
      </c>
      <c r="C263" s="94"/>
      <c r="D263" s="60">
        <v>329</v>
      </c>
      <c r="E263" s="60">
        <v>48</v>
      </c>
      <c r="F263" s="60"/>
      <c r="G263" s="60"/>
      <c r="H263" s="60"/>
      <c r="I263" s="60"/>
      <c r="J263" s="60"/>
      <c r="K263" s="60"/>
      <c r="L263" s="60"/>
      <c r="M263" s="60">
        <v>2</v>
      </c>
      <c r="N263" s="60">
        <v>3</v>
      </c>
      <c r="O263" s="60">
        <v>2</v>
      </c>
      <c r="P263" s="60">
        <v>1</v>
      </c>
      <c r="Q263" s="216"/>
      <c r="R263" s="216"/>
      <c r="S263" s="217"/>
    </row>
    <row r="264" spans="1:19" s="207" customFormat="1" ht="15.75" customHeight="1">
      <c r="A264" s="50"/>
      <c r="B264" s="97" t="s">
        <v>105</v>
      </c>
      <c r="C264" s="15" t="s">
        <v>1058</v>
      </c>
      <c r="D264" s="40">
        <v>4</v>
      </c>
      <c r="E264" s="40"/>
      <c r="F264" s="40"/>
      <c r="G264" s="40"/>
      <c r="H264" s="40"/>
      <c r="I264" s="40"/>
      <c r="J264" s="40"/>
      <c r="K264" s="40"/>
      <c r="L264" s="40"/>
      <c r="M264" s="40">
        <v>2</v>
      </c>
      <c r="N264" s="40">
        <v>3</v>
      </c>
      <c r="O264" s="40">
        <v>2</v>
      </c>
      <c r="P264" s="40">
        <v>1</v>
      </c>
      <c r="Q264" s="216"/>
      <c r="R264" s="216"/>
      <c r="S264" s="217"/>
    </row>
    <row r="265" spans="1:19" s="207" customFormat="1" ht="16.5" customHeight="1">
      <c r="A265" s="50"/>
      <c r="B265" s="93" t="s">
        <v>670</v>
      </c>
      <c r="C265" s="94"/>
      <c r="D265" s="60">
        <v>165</v>
      </c>
      <c r="E265" s="40">
        <v>17</v>
      </c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216"/>
      <c r="R265" s="216"/>
      <c r="S265" s="217"/>
    </row>
    <row r="266" spans="1:19" s="207" customFormat="1" ht="15.75" customHeight="1">
      <c r="A266" s="50"/>
      <c r="B266" s="93" t="s">
        <v>37</v>
      </c>
      <c r="C266" s="94"/>
      <c r="D266" s="60">
        <v>62</v>
      </c>
      <c r="E266" s="60">
        <v>10</v>
      </c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216"/>
      <c r="R266" s="216"/>
      <c r="S266" s="217"/>
    </row>
    <row r="267" spans="1:188" s="57" customFormat="1" ht="18" customHeight="1">
      <c r="A267" s="13">
        <v>28</v>
      </c>
      <c r="B267" s="92" t="s">
        <v>263</v>
      </c>
      <c r="C267" s="45"/>
      <c r="D267" s="44">
        <v>400</v>
      </c>
      <c r="E267" s="44">
        <v>10</v>
      </c>
      <c r="F267" s="44">
        <v>599</v>
      </c>
      <c r="G267" s="44">
        <v>404</v>
      </c>
      <c r="H267" s="44">
        <v>412</v>
      </c>
      <c r="I267" s="44">
        <v>428</v>
      </c>
      <c r="J267" s="44">
        <v>433</v>
      </c>
      <c r="K267" s="44">
        <v>440</v>
      </c>
      <c r="L267" s="44">
        <f>SUM(L268,L279,L283)</f>
        <v>8</v>
      </c>
      <c r="M267" s="44">
        <f>SUM(M268,M279,M283)</f>
        <v>9</v>
      </c>
      <c r="N267" s="44">
        <f>SUM(N268,N279,N283)</f>
        <v>18</v>
      </c>
      <c r="O267" s="44">
        <f>SUM(O268,O279,O283)</f>
        <v>5</v>
      </c>
      <c r="P267" s="44">
        <f>SUM(P268,P279,P283)</f>
        <v>10</v>
      </c>
      <c r="Q267" s="54" t="s">
        <v>648</v>
      </c>
      <c r="R267" s="54">
        <v>10</v>
      </c>
      <c r="S267" s="55" t="s">
        <v>730</v>
      </c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56"/>
      <c r="DH267" s="56"/>
      <c r="DI267" s="56"/>
      <c r="DJ267" s="56"/>
      <c r="DK267" s="56"/>
      <c r="DL267" s="56"/>
      <c r="DM267" s="56"/>
      <c r="DN267" s="56"/>
      <c r="DO267" s="56"/>
      <c r="DP267" s="56"/>
      <c r="DQ267" s="56"/>
      <c r="DR267" s="56"/>
      <c r="DS267" s="56"/>
      <c r="DT267" s="56"/>
      <c r="DU267" s="56"/>
      <c r="DV267" s="56"/>
      <c r="DW267" s="56"/>
      <c r="DX267" s="56"/>
      <c r="DY267" s="56"/>
      <c r="DZ267" s="56"/>
      <c r="EA267" s="56"/>
      <c r="EB267" s="56"/>
      <c r="EC267" s="56"/>
      <c r="ED267" s="56"/>
      <c r="EE267" s="56"/>
      <c r="EF267" s="56"/>
      <c r="EG267" s="56"/>
      <c r="EH267" s="56"/>
      <c r="EI267" s="56"/>
      <c r="EJ267" s="56"/>
      <c r="EK267" s="56"/>
      <c r="EL267" s="56"/>
      <c r="EM267" s="56"/>
      <c r="EN267" s="56"/>
      <c r="EO267" s="56"/>
      <c r="EP267" s="56"/>
      <c r="EQ267" s="56"/>
      <c r="ER267" s="56"/>
      <c r="ES267" s="56"/>
      <c r="ET267" s="56"/>
      <c r="EU267" s="56"/>
      <c r="EV267" s="56"/>
      <c r="EW267" s="56"/>
      <c r="EX267" s="56"/>
      <c r="EY267" s="56"/>
      <c r="EZ267" s="56"/>
      <c r="FA267" s="56"/>
      <c r="FB267" s="56"/>
      <c r="FC267" s="56"/>
      <c r="FD267" s="56"/>
      <c r="FE267" s="56"/>
      <c r="FF267" s="56"/>
      <c r="FG267" s="56"/>
      <c r="FH267" s="56"/>
      <c r="FI267" s="56"/>
      <c r="FJ267" s="56"/>
      <c r="FK267" s="56"/>
      <c r="FL267" s="56"/>
      <c r="FM267" s="56"/>
      <c r="FN267" s="56"/>
      <c r="FO267" s="56"/>
      <c r="FP267" s="56"/>
      <c r="FQ267" s="56"/>
      <c r="FR267" s="56"/>
      <c r="FS267" s="56"/>
      <c r="FT267" s="56"/>
      <c r="FU267" s="56"/>
      <c r="FV267" s="56"/>
      <c r="FW267" s="56"/>
      <c r="FX267" s="56"/>
      <c r="FY267" s="56"/>
      <c r="FZ267" s="56"/>
      <c r="GA267" s="56"/>
      <c r="GB267" s="56"/>
      <c r="GC267" s="56"/>
      <c r="GD267" s="56"/>
      <c r="GE267" s="56"/>
      <c r="GF267" s="56"/>
    </row>
    <row r="268" spans="1:48" s="18" customFormat="1" ht="15" customHeight="1">
      <c r="A268" s="50"/>
      <c r="B268" s="93" t="s">
        <v>669</v>
      </c>
      <c r="C268" s="16"/>
      <c r="D268" s="52"/>
      <c r="E268" s="52"/>
      <c r="F268" s="52"/>
      <c r="G268" s="52"/>
      <c r="H268" s="52"/>
      <c r="I268" s="52"/>
      <c r="J268" s="52"/>
      <c r="K268" s="52"/>
      <c r="L268" s="60">
        <f>SUM(L269:L278)</f>
        <v>7</v>
      </c>
      <c r="M268" s="60">
        <f>SUM(M269:M278)</f>
        <v>4</v>
      </c>
      <c r="N268" s="60">
        <f>SUM(N269:N278)</f>
        <v>12</v>
      </c>
      <c r="O268" s="60">
        <f>SUM(O269:O278)</f>
        <v>2</v>
      </c>
      <c r="P268" s="60">
        <f>SUM(P269:P278)</f>
        <v>7</v>
      </c>
      <c r="Q268" s="23"/>
      <c r="R268" s="23"/>
      <c r="S268" s="1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</row>
    <row r="269" spans="1:48" s="27" customFormat="1" ht="15.75" customHeight="1">
      <c r="A269" s="12"/>
      <c r="B269" s="97" t="s">
        <v>560</v>
      </c>
      <c r="C269" s="29" t="s">
        <v>741</v>
      </c>
      <c r="D269" s="51"/>
      <c r="E269" s="51"/>
      <c r="F269" s="51">
        <v>27</v>
      </c>
      <c r="G269" s="51">
        <v>29</v>
      </c>
      <c r="H269" s="51">
        <v>29</v>
      </c>
      <c r="I269" s="51">
        <v>30</v>
      </c>
      <c r="J269" s="51">
        <v>30</v>
      </c>
      <c r="K269" s="51">
        <v>30</v>
      </c>
      <c r="L269" s="40">
        <v>1</v>
      </c>
      <c r="M269" s="40" t="s">
        <v>556</v>
      </c>
      <c r="N269" s="40">
        <v>1</v>
      </c>
      <c r="O269" s="40" t="s">
        <v>556</v>
      </c>
      <c r="P269" s="40" t="s">
        <v>556</v>
      </c>
      <c r="Q269" s="33"/>
      <c r="R269" s="28"/>
      <c r="S269" s="2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</row>
    <row r="270" spans="1:48" s="27" customFormat="1" ht="15.75" customHeight="1">
      <c r="A270" s="12"/>
      <c r="B270" s="97" t="s">
        <v>558</v>
      </c>
      <c r="C270" s="29" t="s">
        <v>452</v>
      </c>
      <c r="D270" s="51"/>
      <c r="E270" s="51"/>
      <c r="F270" s="51"/>
      <c r="G270" s="51">
        <v>4</v>
      </c>
      <c r="H270" s="51">
        <v>5</v>
      </c>
      <c r="I270" s="51">
        <v>5</v>
      </c>
      <c r="J270" s="51">
        <v>5</v>
      </c>
      <c r="K270" s="51">
        <v>5</v>
      </c>
      <c r="L270" s="40" t="s">
        <v>556</v>
      </c>
      <c r="M270" s="40">
        <v>1</v>
      </c>
      <c r="N270" s="40" t="s">
        <v>556</v>
      </c>
      <c r="O270" s="40" t="s">
        <v>556</v>
      </c>
      <c r="P270" s="40" t="s">
        <v>556</v>
      </c>
      <c r="Q270" s="33"/>
      <c r="R270" s="28"/>
      <c r="S270" s="2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</row>
    <row r="271" spans="1:48" s="27" customFormat="1" ht="15.75" customHeight="1">
      <c r="A271" s="12"/>
      <c r="B271" s="97" t="s">
        <v>629</v>
      </c>
      <c r="C271" s="15" t="s">
        <v>787</v>
      </c>
      <c r="D271" s="51"/>
      <c r="E271" s="51"/>
      <c r="F271" s="51">
        <v>6</v>
      </c>
      <c r="G271" s="51">
        <v>4</v>
      </c>
      <c r="H271" s="51">
        <v>4</v>
      </c>
      <c r="I271" s="51">
        <v>6</v>
      </c>
      <c r="J271" s="51">
        <v>6</v>
      </c>
      <c r="K271" s="51">
        <v>6</v>
      </c>
      <c r="L271" s="40" t="s">
        <v>556</v>
      </c>
      <c r="M271" s="40" t="s">
        <v>556</v>
      </c>
      <c r="N271" s="40">
        <v>2</v>
      </c>
      <c r="O271" s="40" t="s">
        <v>556</v>
      </c>
      <c r="P271" s="40" t="s">
        <v>556</v>
      </c>
      <c r="Q271" s="33"/>
      <c r="R271" s="28"/>
      <c r="S271" s="2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</row>
    <row r="272" spans="1:48" s="27" customFormat="1" ht="17.25" customHeight="1">
      <c r="A272" s="12"/>
      <c r="B272" s="97" t="s">
        <v>1054</v>
      </c>
      <c r="C272" s="29" t="s">
        <v>264</v>
      </c>
      <c r="D272" s="51"/>
      <c r="E272" s="51"/>
      <c r="F272" s="51">
        <v>4</v>
      </c>
      <c r="G272" s="51">
        <v>9</v>
      </c>
      <c r="H272" s="51">
        <v>11</v>
      </c>
      <c r="I272" s="51">
        <v>11</v>
      </c>
      <c r="J272" s="51">
        <v>13</v>
      </c>
      <c r="K272" s="51">
        <v>13</v>
      </c>
      <c r="L272" s="40">
        <v>1</v>
      </c>
      <c r="M272" s="40">
        <v>1</v>
      </c>
      <c r="N272" s="40">
        <v>1</v>
      </c>
      <c r="O272" s="40">
        <v>1</v>
      </c>
      <c r="P272" s="40">
        <v>1</v>
      </c>
      <c r="Q272" s="33"/>
      <c r="R272" s="28"/>
      <c r="S272" s="2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</row>
    <row r="273" spans="1:48" s="27" customFormat="1" ht="18" customHeight="1">
      <c r="A273" s="12"/>
      <c r="B273" s="97" t="s">
        <v>260</v>
      </c>
      <c r="C273" s="15" t="s">
        <v>261</v>
      </c>
      <c r="D273" s="51"/>
      <c r="E273" s="51"/>
      <c r="F273" s="51"/>
      <c r="G273" s="51">
        <v>25</v>
      </c>
      <c r="H273" s="51">
        <v>25</v>
      </c>
      <c r="I273" s="51">
        <v>28</v>
      </c>
      <c r="J273" s="51">
        <v>28</v>
      </c>
      <c r="K273" s="51">
        <v>28</v>
      </c>
      <c r="L273" s="40">
        <v>2</v>
      </c>
      <c r="M273" s="40" t="s">
        <v>556</v>
      </c>
      <c r="N273" s="40">
        <v>3</v>
      </c>
      <c r="O273" s="40" t="s">
        <v>556</v>
      </c>
      <c r="P273" s="40" t="s">
        <v>556</v>
      </c>
      <c r="Q273" s="33"/>
      <c r="R273" s="28"/>
      <c r="S273" s="2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</row>
    <row r="274" spans="1:48" s="27" customFormat="1" ht="18" customHeight="1">
      <c r="A274" s="12"/>
      <c r="B274" s="97" t="s">
        <v>635</v>
      </c>
      <c r="C274" s="29" t="s">
        <v>636</v>
      </c>
      <c r="D274" s="51"/>
      <c r="E274" s="51"/>
      <c r="F274" s="51"/>
      <c r="G274" s="51">
        <v>10</v>
      </c>
      <c r="H274" s="51">
        <v>10</v>
      </c>
      <c r="I274" s="51">
        <v>12</v>
      </c>
      <c r="J274" s="51">
        <v>12</v>
      </c>
      <c r="K274" s="51">
        <v>14</v>
      </c>
      <c r="L274" s="40">
        <v>2</v>
      </c>
      <c r="M274" s="40" t="s">
        <v>556</v>
      </c>
      <c r="N274" s="40">
        <v>2</v>
      </c>
      <c r="O274" s="40" t="s">
        <v>556</v>
      </c>
      <c r="P274" s="40">
        <v>2</v>
      </c>
      <c r="Q274" s="33"/>
      <c r="R274" s="28"/>
      <c r="S274" s="2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</row>
    <row r="275" spans="1:48" s="27" customFormat="1" ht="18" customHeight="1">
      <c r="A275" s="12"/>
      <c r="B275" s="97" t="s">
        <v>411</v>
      </c>
      <c r="C275" s="15" t="s">
        <v>412</v>
      </c>
      <c r="D275" s="51"/>
      <c r="E275" s="51"/>
      <c r="F275" s="51"/>
      <c r="G275" s="51">
        <v>1</v>
      </c>
      <c r="H275" s="51">
        <v>2</v>
      </c>
      <c r="I275" s="51">
        <v>2</v>
      </c>
      <c r="J275" s="51">
        <v>3</v>
      </c>
      <c r="K275" s="51">
        <v>3</v>
      </c>
      <c r="L275" s="40" t="s">
        <v>556</v>
      </c>
      <c r="M275" s="40">
        <v>1</v>
      </c>
      <c r="N275" s="40" t="s">
        <v>556</v>
      </c>
      <c r="O275" s="40">
        <v>1</v>
      </c>
      <c r="P275" s="40" t="s">
        <v>556</v>
      </c>
      <c r="Q275" s="33"/>
      <c r="R275" s="28"/>
      <c r="S275" s="2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</row>
    <row r="276" spans="1:48" s="27" customFormat="1" ht="18.75" customHeight="1">
      <c r="A276" s="12"/>
      <c r="B276" s="97" t="s">
        <v>1316</v>
      </c>
      <c r="C276" s="29" t="s">
        <v>1317</v>
      </c>
      <c r="D276" s="51"/>
      <c r="E276" s="51"/>
      <c r="F276" s="51">
        <v>18</v>
      </c>
      <c r="G276" s="51">
        <v>6</v>
      </c>
      <c r="H276" s="51">
        <v>6</v>
      </c>
      <c r="I276" s="51">
        <v>7</v>
      </c>
      <c r="J276" s="51">
        <v>7</v>
      </c>
      <c r="K276" s="51">
        <v>8</v>
      </c>
      <c r="L276" s="40">
        <v>1</v>
      </c>
      <c r="M276" s="40" t="s">
        <v>556</v>
      </c>
      <c r="N276" s="40">
        <v>1</v>
      </c>
      <c r="O276" s="40" t="s">
        <v>556</v>
      </c>
      <c r="P276" s="40">
        <v>1</v>
      </c>
      <c r="Q276" s="33"/>
      <c r="R276" s="28"/>
      <c r="S276" s="2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</row>
    <row r="277" spans="1:48" s="27" customFormat="1" ht="14.25" customHeight="1">
      <c r="A277" s="12"/>
      <c r="B277" s="97" t="s">
        <v>564</v>
      </c>
      <c r="C277" s="29" t="s">
        <v>565</v>
      </c>
      <c r="D277" s="51"/>
      <c r="E277" s="51"/>
      <c r="F277" s="51">
        <v>23</v>
      </c>
      <c r="G277" s="51">
        <v>8</v>
      </c>
      <c r="H277" s="51">
        <v>9</v>
      </c>
      <c r="I277" s="51">
        <v>9</v>
      </c>
      <c r="J277" s="51">
        <v>9</v>
      </c>
      <c r="K277" s="51">
        <v>11</v>
      </c>
      <c r="L277" s="40" t="s">
        <v>556</v>
      </c>
      <c r="M277" s="40">
        <v>1</v>
      </c>
      <c r="N277" s="40" t="s">
        <v>556</v>
      </c>
      <c r="O277" s="40" t="s">
        <v>556</v>
      </c>
      <c r="P277" s="40">
        <v>2</v>
      </c>
      <c r="Q277" s="33"/>
      <c r="R277" s="28"/>
      <c r="S277" s="2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</row>
    <row r="278" spans="1:48" s="27" customFormat="1" ht="15.75" customHeight="1">
      <c r="A278" s="12"/>
      <c r="B278" s="97" t="s">
        <v>594</v>
      </c>
      <c r="C278" s="29" t="s">
        <v>783</v>
      </c>
      <c r="D278" s="51"/>
      <c r="E278" s="51"/>
      <c r="F278" s="51">
        <v>25</v>
      </c>
      <c r="G278" s="51">
        <v>17</v>
      </c>
      <c r="H278" s="51">
        <v>17</v>
      </c>
      <c r="I278" s="51">
        <v>19</v>
      </c>
      <c r="J278" s="51">
        <v>19</v>
      </c>
      <c r="K278" s="51">
        <v>19</v>
      </c>
      <c r="L278" s="40" t="s">
        <v>556</v>
      </c>
      <c r="M278" s="40" t="s">
        <v>556</v>
      </c>
      <c r="N278" s="40">
        <v>2</v>
      </c>
      <c r="O278" s="40" t="s">
        <v>556</v>
      </c>
      <c r="P278" s="40">
        <v>1</v>
      </c>
      <c r="Q278" s="33"/>
      <c r="R278" s="28"/>
      <c r="S278" s="2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</row>
    <row r="279" spans="1:48" s="18" customFormat="1" ht="16.5" customHeight="1">
      <c r="A279" s="50"/>
      <c r="B279" s="93" t="s">
        <v>670</v>
      </c>
      <c r="C279" s="16"/>
      <c r="D279" s="52"/>
      <c r="E279" s="51"/>
      <c r="F279" s="52"/>
      <c r="G279" s="52"/>
      <c r="H279" s="52"/>
      <c r="I279" s="52"/>
      <c r="J279" s="52"/>
      <c r="K279" s="52"/>
      <c r="L279" s="60" t="s">
        <v>556</v>
      </c>
      <c r="M279" s="60">
        <f>SUM(M280:M282)</f>
        <v>1</v>
      </c>
      <c r="N279" s="60">
        <f>SUM(N280:N282)</f>
        <v>3</v>
      </c>
      <c r="O279" s="60" t="s">
        <v>556</v>
      </c>
      <c r="P279" s="60">
        <f>SUM(P280:P282)</f>
        <v>1</v>
      </c>
      <c r="Q279" s="23"/>
      <c r="R279" s="23"/>
      <c r="S279" s="1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</row>
    <row r="280" spans="1:48" s="27" customFormat="1" ht="18.75" customHeight="1">
      <c r="A280" s="12"/>
      <c r="B280" s="97" t="s">
        <v>65</v>
      </c>
      <c r="C280" s="29" t="s">
        <v>66</v>
      </c>
      <c r="D280" s="51"/>
      <c r="E280" s="51"/>
      <c r="F280" s="51" t="s">
        <v>556</v>
      </c>
      <c r="G280" s="51">
        <v>1</v>
      </c>
      <c r="H280" s="51">
        <v>1</v>
      </c>
      <c r="I280" s="51">
        <v>2</v>
      </c>
      <c r="J280" s="51">
        <v>2</v>
      </c>
      <c r="K280" s="51">
        <v>2</v>
      </c>
      <c r="L280" s="40" t="s">
        <v>556</v>
      </c>
      <c r="M280" s="40" t="s">
        <v>556</v>
      </c>
      <c r="N280" s="40">
        <v>1</v>
      </c>
      <c r="O280" s="40" t="s">
        <v>556</v>
      </c>
      <c r="P280" s="40" t="s">
        <v>556</v>
      </c>
      <c r="Q280" s="33"/>
      <c r="R280" s="33"/>
      <c r="S280" s="33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</row>
    <row r="281" spans="1:48" s="27" customFormat="1" ht="18.75" customHeight="1">
      <c r="A281" s="12"/>
      <c r="B281" s="97" t="s">
        <v>561</v>
      </c>
      <c r="C281" s="66" t="s">
        <v>804</v>
      </c>
      <c r="D281" s="51"/>
      <c r="E281" s="51"/>
      <c r="F281" s="51">
        <v>25</v>
      </c>
      <c r="G281" s="51">
        <v>1</v>
      </c>
      <c r="H281" s="51">
        <v>2</v>
      </c>
      <c r="I281" s="51">
        <v>2</v>
      </c>
      <c r="J281" s="51">
        <v>2</v>
      </c>
      <c r="K281" s="51">
        <v>3</v>
      </c>
      <c r="L281" s="40" t="s">
        <v>556</v>
      </c>
      <c r="M281" s="40">
        <v>1</v>
      </c>
      <c r="N281" s="40" t="s">
        <v>556</v>
      </c>
      <c r="O281" s="40" t="s">
        <v>556</v>
      </c>
      <c r="P281" s="40">
        <v>1</v>
      </c>
      <c r="Q281" s="33"/>
      <c r="R281" s="33"/>
      <c r="S281" s="33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</row>
    <row r="282" spans="1:48" s="27" customFormat="1" ht="18.75" customHeight="1">
      <c r="A282" s="12"/>
      <c r="B282" s="97" t="s">
        <v>566</v>
      </c>
      <c r="C282" s="15" t="s">
        <v>567</v>
      </c>
      <c r="D282" s="51"/>
      <c r="E282" s="51"/>
      <c r="F282" s="51"/>
      <c r="G282" s="51">
        <v>6</v>
      </c>
      <c r="H282" s="51">
        <v>6</v>
      </c>
      <c r="I282" s="51">
        <v>8</v>
      </c>
      <c r="J282" s="51">
        <v>8</v>
      </c>
      <c r="K282" s="51">
        <v>8</v>
      </c>
      <c r="L282" s="40" t="s">
        <v>556</v>
      </c>
      <c r="M282" s="40" t="s">
        <v>556</v>
      </c>
      <c r="N282" s="40">
        <v>2</v>
      </c>
      <c r="O282" s="40" t="s">
        <v>556</v>
      </c>
      <c r="P282" s="40" t="s">
        <v>556</v>
      </c>
      <c r="Q282" s="33"/>
      <c r="R282" s="33"/>
      <c r="S282" s="33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</row>
    <row r="283" spans="1:48" s="18" customFormat="1" ht="16.5" customHeight="1">
      <c r="A283" s="50"/>
      <c r="B283" s="93" t="s">
        <v>37</v>
      </c>
      <c r="C283" s="16"/>
      <c r="D283" s="52"/>
      <c r="E283" s="51"/>
      <c r="F283" s="52"/>
      <c r="G283" s="52"/>
      <c r="H283" s="52"/>
      <c r="I283" s="52"/>
      <c r="J283" s="52"/>
      <c r="K283" s="52"/>
      <c r="L283" s="60">
        <f>SUM(L284:L287)</f>
        <v>1</v>
      </c>
      <c r="M283" s="60">
        <f>SUM(M284:M287)</f>
        <v>4</v>
      </c>
      <c r="N283" s="60">
        <f>SUM(N284:N287)</f>
        <v>3</v>
      </c>
      <c r="O283" s="60">
        <f>SUM(O284:O287)</f>
        <v>3</v>
      </c>
      <c r="P283" s="60">
        <f>SUM(P284:P287)</f>
        <v>2</v>
      </c>
      <c r="Q283" s="23"/>
      <c r="R283" s="23"/>
      <c r="S283" s="1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</row>
    <row r="284" spans="1:48" s="27" customFormat="1" ht="30.75" customHeight="1">
      <c r="A284" s="12"/>
      <c r="B284" s="105" t="s">
        <v>864</v>
      </c>
      <c r="C284" s="15" t="s">
        <v>865</v>
      </c>
      <c r="D284" s="51"/>
      <c r="E284" s="51"/>
      <c r="F284" s="51"/>
      <c r="G284" s="51">
        <v>2</v>
      </c>
      <c r="H284" s="51">
        <v>2</v>
      </c>
      <c r="I284" s="51">
        <v>3</v>
      </c>
      <c r="J284" s="51">
        <v>3</v>
      </c>
      <c r="K284" s="51">
        <v>3</v>
      </c>
      <c r="L284" s="40" t="s">
        <v>556</v>
      </c>
      <c r="M284" s="40">
        <v>1</v>
      </c>
      <c r="N284" s="40">
        <v>1</v>
      </c>
      <c r="O284" s="40">
        <v>1</v>
      </c>
      <c r="P284" s="40">
        <v>1</v>
      </c>
      <c r="Q284" s="33"/>
      <c r="R284" s="33"/>
      <c r="S284" s="33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</row>
    <row r="285" spans="1:48" s="27" customFormat="1" ht="17.25" customHeight="1">
      <c r="A285" s="12"/>
      <c r="B285" s="106" t="s">
        <v>1045</v>
      </c>
      <c r="C285" s="66" t="s">
        <v>1046</v>
      </c>
      <c r="D285" s="51"/>
      <c r="E285" s="51"/>
      <c r="F285" s="51"/>
      <c r="G285" s="51">
        <v>1</v>
      </c>
      <c r="H285" s="51">
        <v>1</v>
      </c>
      <c r="I285" s="51">
        <v>2</v>
      </c>
      <c r="J285" s="51">
        <v>2</v>
      </c>
      <c r="K285" s="51">
        <v>2</v>
      </c>
      <c r="L285" s="40" t="s">
        <v>556</v>
      </c>
      <c r="M285" s="40" t="s">
        <v>556</v>
      </c>
      <c r="N285" s="40">
        <v>1</v>
      </c>
      <c r="O285" s="40" t="s">
        <v>556</v>
      </c>
      <c r="P285" s="40" t="s">
        <v>556</v>
      </c>
      <c r="Q285" s="33"/>
      <c r="R285" s="33"/>
      <c r="S285" s="33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</row>
    <row r="286" spans="1:48" s="27" customFormat="1" ht="15.75" customHeight="1">
      <c r="A286" s="12"/>
      <c r="B286" s="106" t="s">
        <v>642</v>
      </c>
      <c r="C286" s="66" t="s">
        <v>643</v>
      </c>
      <c r="D286" s="51"/>
      <c r="E286" s="51"/>
      <c r="F286" s="51"/>
      <c r="G286" s="51">
        <v>1</v>
      </c>
      <c r="H286" s="51">
        <v>1</v>
      </c>
      <c r="I286" s="51">
        <v>1</v>
      </c>
      <c r="J286" s="51">
        <v>2</v>
      </c>
      <c r="K286" s="51">
        <v>2</v>
      </c>
      <c r="L286" s="40">
        <v>1</v>
      </c>
      <c r="M286" s="40">
        <v>1</v>
      </c>
      <c r="N286" s="40">
        <v>1</v>
      </c>
      <c r="O286" s="40">
        <v>1</v>
      </c>
      <c r="P286" s="40">
        <v>1</v>
      </c>
      <c r="Q286" s="33"/>
      <c r="R286" s="33"/>
      <c r="S286" s="33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</row>
    <row r="287" spans="1:48" s="27" customFormat="1" ht="17.25" customHeight="1">
      <c r="A287" s="12"/>
      <c r="B287" s="97" t="s">
        <v>807</v>
      </c>
      <c r="C287" s="15" t="s">
        <v>810</v>
      </c>
      <c r="D287" s="51"/>
      <c r="E287" s="51"/>
      <c r="F287" s="51" t="s">
        <v>556</v>
      </c>
      <c r="G287" s="51">
        <v>4</v>
      </c>
      <c r="H287" s="51">
        <v>5</v>
      </c>
      <c r="I287" s="51">
        <v>5</v>
      </c>
      <c r="J287" s="51">
        <v>6</v>
      </c>
      <c r="K287" s="51">
        <v>6</v>
      </c>
      <c r="L287" s="40" t="s">
        <v>556</v>
      </c>
      <c r="M287" s="40">
        <v>2</v>
      </c>
      <c r="N287" s="40" t="s">
        <v>556</v>
      </c>
      <c r="O287" s="40">
        <v>1</v>
      </c>
      <c r="P287" s="40" t="s">
        <v>556</v>
      </c>
      <c r="Q287" s="33"/>
      <c r="R287" s="33"/>
      <c r="S287" s="33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</row>
    <row r="288" spans="1:188" s="276" customFormat="1" ht="18" customHeight="1">
      <c r="A288" s="13">
        <v>29</v>
      </c>
      <c r="B288" s="92" t="s">
        <v>265</v>
      </c>
      <c r="C288" s="45"/>
      <c r="D288" s="44">
        <v>2879</v>
      </c>
      <c r="E288" s="44">
        <v>155</v>
      </c>
      <c r="F288" s="44">
        <v>599</v>
      </c>
      <c r="G288" s="44">
        <v>2606</v>
      </c>
      <c r="H288" s="44">
        <v>3506</v>
      </c>
      <c r="I288" s="44">
        <v>3506</v>
      </c>
      <c r="J288" s="44">
        <v>3506</v>
      </c>
      <c r="K288" s="44">
        <v>3506</v>
      </c>
      <c r="L288" s="44">
        <f>L289+L306+L309</f>
        <v>45</v>
      </c>
      <c r="M288" s="44">
        <v>410</v>
      </c>
      <c r="N288" s="44">
        <v>270</v>
      </c>
      <c r="O288" s="44">
        <v>122</v>
      </c>
      <c r="P288" s="44">
        <v>92</v>
      </c>
      <c r="Q288" s="290" t="s">
        <v>648</v>
      </c>
      <c r="R288" s="290">
        <v>10</v>
      </c>
      <c r="S288" s="291" t="s">
        <v>730</v>
      </c>
      <c r="T288" s="275"/>
      <c r="U288" s="275"/>
      <c r="V288" s="275"/>
      <c r="W288" s="275"/>
      <c r="X288" s="275"/>
      <c r="Y288" s="275"/>
      <c r="Z288" s="275"/>
      <c r="AA288" s="275"/>
      <c r="AB288" s="275"/>
      <c r="AC288" s="275"/>
      <c r="AD288" s="275"/>
      <c r="AE288" s="275"/>
      <c r="AF288" s="275"/>
      <c r="AG288" s="275"/>
      <c r="AH288" s="275"/>
      <c r="AI288" s="275"/>
      <c r="AJ288" s="275"/>
      <c r="AK288" s="275"/>
      <c r="AL288" s="275"/>
      <c r="AM288" s="275"/>
      <c r="AN288" s="275"/>
      <c r="AO288" s="275"/>
      <c r="AP288" s="275"/>
      <c r="AQ288" s="275"/>
      <c r="AR288" s="275"/>
      <c r="AS288" s="275"/>
      <c r="AT288" s="275"/>
      <c r="AU288" s="275"/>
      <c r="AV288" s="275"/>
      <c r="AW288" s="275"/>
      <c r="AX288" s="275"/>
      <c r="AY288" s="275"/>
      <c r="AZ288" s="275"/>
      <c r="BA288" s="275"/>
      <c r="BB288" s="275"/>
      <c r="BC288" s="275"/>
      <c r="BD288" s="275"/>
      <c r="BE288" s="275"/>
      <c r="BF288" s="275"/>
      <c r="BG288" s="275"/>
      <c r="BH288" s="275"/>
      <c r="BI288" s="275"/>
      <c r="BJ288" s="275"/>
      <c r="BK288" s="275"/>
      <c r="BL288" s="275"/>
      <c r="BM288" s="275"/>
      <c r="BN288" s="275"/>
      <c r="BO288" s="275"/>
      <c r="BP288" s="275"/>
      <c r="BQ288" s="275"/>
      <c r="BR288" s="275"/>
      <c r="BS288" s="275"/>
      <c r="BT288" s="275"/>
      <c r="BU288" s="275"/>
      <c r="BV288" s="275"/>
      <c r="BW288" s="275"/>
      <c r="BX288" s="275"/>
      <c r="BY288" s="275"/>
      <c r="BZ288" s="275"/>
      <c r="CA288" s="275"/>
      <c r="CB288" s="275"/>
      <c r="CC288" s="275"/>
      <c r="CD288" s="275"/>
      <c r="CE288" s="275"/>
      <c r="CF288" s="275"/>
      <c r="CG288" s="275"/>
      <c r="CH288" s="275"/>
      <c r="CI288" s="275"/>
      <c r="CJ288" s="275"/>
      <c r="CK288" s="275"/>
      <c r="CL288" s="275"/>
      <c r="CM288" s="275"/>
      <c r="CN288" s="275"/>
      <c r="CO288" s="275"/>
      <c r="CP288" s="275"/>
      <c r="CQ288" s="275"/>
      <c r="CR288" s="275"/>
      <c r="CS288" s="275"/>
      <c r="CT288" s="275"/>
      <c r="CU288" s="275"/>
      <c r="CV288" s="275"/>
      <c r="CW288" s="275"/>
      <c r="CX288" s="275"/>
      <c r="CY288" s="275"/>
      <c r="CZ288" s="275"/>
      <c r="DA288" s="275"/>
      <c r="DB288" s="275"/>
      <c r="DC288" s="275"/>
      <c r="DD288" s="275"/>
      <c r="DE288" s="275"/>
      <c r="DF288" s="275"/>
      <c r="DG288" s="275"/>
      <c r="DH288" s="275"/>
      <c r="DI288" s="275"/>
      <c r="DJ288" s="275"/>
      <c r="DK288" s="275"/>
      <c r="DL288" s="275"/>
      <c r="DM288" s="275"/>
      <c r="DN288" s="275"/>
      <c r="DO288" s="275"/>
      <c r="DP288" s="275"/>
      <c r="DQ288" s="275"/>
      <c r="DR288" s="275"/>
      <c r="DS288" s="275"/>
      <c r="DT288" s="275"/>
      <c r="DU288" s="275"/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5"/>
      <c r="EJ288" s="275"/>
      <c r="EK288" s="275"/>
      <c r="EL288" s="275"/>
      <c r="EM288" s="275"/>
      <c r="EN288" s="275"/>
      <c r="EO288" s="275"/>
      <c r="EP288" s="275"/>
      <c r="EQ288" s="275"/>
      <c r="ER288" s="275"/>
      <c r="ES288" s="275"/>
      <c r="ET288" s="275"/>
      <c r="EU288" s="275"/>
      <c r="EV288" s="275"/>
      <c r="EW288" s="275"/>
      <c r="EX288" s="275"/>
      <c r="EY288" s="275"/>
      <c r="EZ288" s="275"/>
      <c r="FA288" s="275"/>
      <c r="FB288" s="275"/>
      <c r="FC288" s="275"/>
      <c r="FD288" s="275"/>
      <c r="FE288" s="275"/>
      <c r="FF288" s="275"/>
      <c r="FG288" s="275"/>
      <c r="FH288" s="275"/>
      <c r="FI288" s="275"/>
      <c r="FJ288" s="275"/>
      <c r="FK288" s="275"/>
      <c r="FL288" s="275"/>
      <c r="FM288" s="275"/>
      <c r="FN288" s="275"/>
      <c r="FO288" s="275"/>
      <c r="FP288" s="275"/>
      <c r="FQ288" s="275"/>
      <c r="FR288" s="275"/>
      <c r="FS288" s="275"/>
      <c r="FT288" s="275"/>
      <c r="FU288" s="275"/>
      <c r="FV288" s="275"/>
      <c r="FW288" s="275"/>
      <c r="FX288" s="275"/>
      <c r="FY288" s="275"/>
      <c r="FZ288" s="275"/>
      <c r="GA288" s="275"/>
      <c r="GB288" s="275"/>
      <c r="GC288" s="275"/>
      <c r="GD288" s="275"/>
      <c r="GE288" s="275"/>
      <c r="GF288" s="275"/>
    </row>
    <row r="289" spans="1:19" s="280" customFormat="1" ht="15" customHeight="1">
      <c r="A289" s="50"/>
      <c r="B289" s="93" t="s">
        <v>669</v>
      </c>
      <c r="C289" s="94"/>
      <c r="D289" s="60">
        <f>D290+D291+D292+D293+D294+D295+D296+D299+D300+D301+D302+D303+D304+D305+D297</f>
        <v>1517</v>
      </c>
      <c r="E289" s="60">
        <f aca="true" t="shared" si="4" ref="E289:P289">E290+E291+E292+E293+E294+E295+E296+E299+E300+E301+E302+E303+E304+E305+E297</f>
        <v>43</v>
      </c>
      <c r="F289" s="60">
        <f t="shared" si="4"/>
        <v>25</v>
      </c>
      <c r="G289" s="60">
        <f t="shared" si="4"/>
        <v>71</v>
      </c>
      <c r="H289" s="60">
        <f t="shared" si="4"/>
        <v>101</v>
      </c>
      <c r="I289" s="60">
        <f t="shared" si="4"/>
        <v>101</v>
      </c>
      <c r="J289" s="60">
        <f t="shared" si="4"/>
        <v>101</v>
      </c>
      <c r="K289" s="60">
        <f t="shared" si="4"/>
        <v>101</v>
      </c>
      <c r="L289" s="60">
        <f t="shared" si="4"/>
        <v>9</v>
      </c>
      <c r="M289" s="60">
        <f t="shared" si="4"/>
        <v>357</v>
      </c>
      <c r="N289" s="60">
        <f t="shared" si="4"/>
        <v>229</v>
      </c>
      <c r="O289" s="60">
        <f t="shared" si="4"/>
        <v>107</v>
      </c>
      <c r="P289" s="60">
        <f t="shared" si="4"/>
        <v>82</v>
      </c>
      <c r="Q289" s="278"/>
      <c r="R289" s="278"/>
      <c r="S289" s="279"/>
    </row>
    <row r="290" spans="1:19" s="280" customFormat="1" ht="15" customHeight="1">
      <c r="A290" s="12"/>
      <c r="B290" s="97" t="s">
        <v>380</v>
      </c>
      <c r="C290" s="15" t="s">
        <v>741</v>
      </c>
      <c r="D290" s="40">
        <v>302</v>
      </c>
      <c r="E290" s="40">
        <v>11</v>
      </c>
      <c r="F290" s="40"/>
      <c r="G290" s="40"/>
      <c r="H290" s="40"/>
      <c r="I290" s="40"/>
      <c r="J290" s="40"/>
      <c r="K290" s="40"/>
      <c r="L290" s="40"/>
      <c r="M290" s="40">
        <v>95</v>
      </c>
      <c r="N290" s="40">
        <v>65</v>
      </c>
      <c r="O290" s="40">
        <v>30</v>
      </c>
      <c r="P290" s="40">
        <v>10</v>
      </c>
      <c r="Q290" s="278"/>
      <c r="R290" s="278"/>
      <c r="S290" s="279"/>
    </row>
    <row r="291" spans="1:19" s="280" customFormat="1" ht="15" customHeight="1">
      <c r="A291" s="12"/>
      <c r="B291" s="97" t="s">
        <v>381</v>
      </c>
      <c r="C291" s="15" t="s">
        <v>741</v>
      </c>
      <c r="D291" s="40">
        <v>51</v>
      </c>
      <c r="E291" s="40">
        <v>1</v>
      </c>
      <c r="F291" s="40"/>
      <c r="G291" s="40"/>
      <c r="H291" s="40"/>
      <c r="I291" s="40"/>
      <c r="J291" s="40"/>
      <c r="K291" s="40"/>
      <c r="L291" s="40"/>
      <c r="M291" s="40">
        <v>10</v>
      </c>
      <c r="N291" s="40">
        <v>4</v>
      </c>
      <c r="O291" s="40">
        <v>3</v>
      </c>
      <c r="P291" s="40">
        <v>1</v>
      </c>
      <c r="Q291" s="278"/>
      <c r="R291" s="278"/>
      <c r="S291" s="279"/>
    </row>
    <row r="292" spans="1:19" s="280" customFormat="1" ht="15" customHeight="1">
      <c r="A292" s="12"/>
      <c r="B292" s="97" t="s">
        <v>382</v>
      </c>
      <c r="C292" s="15" t="s">
        <v>469</v>
      </c>
      <c r="D292" s="40">
        <v>36</v>
      </c>
      <c r="E292" s="40"/>
      <c r="F292" s="40"/>
      <c r="G292" s="40"/>
      <c r="H292" s="40"/>
      <c r="I292" s="40"/>
      <c r="J292" s="40"/>
      <c r="K292" s="40"/>
      <c r="L292" s="40"/>
      <c r="M292" s="40">
        <v>15</v>
      </c>
      <c r="N292" s="40">
        <v>10</v>
      </c>
      <c r="O292" s="40">
        <v>10</v>
      </c>
      <c r="P292" s="40">
        <v>10</v>
      </c>
      <c r="Q292" s="278"/>
      <c r="R292" s="278"/>
      <c r="S292" s="279"/>
    </row>
    <row r="293" spans="1:19" s="280" customFormat="1" ht="15" customHeight="1">
      <c r="A293" s="12"/>
      <c r="B293" s="97" t="s">
        <v>383</v>
      </c>
      <c r="C293" s="15" t="s">
        <v>636</v>
      </c>
      <c r="D293" s="40">
        <v>229</v>
      </c>
      <c r="E293" s="40">
        <v>4</v>
      </c>
      <c r="F293" s="40"/>
      <c r="G293" s="40"/>
      <c r="H293" s="40"/>
      <c r="I293" s="40"/>
      <c r="J293" s="40"/>
      <c r="K293" s="40"/>
      <c r="L293" s="40"/>
      <c r="M293" s="40">
        <v>45</v>
      </c>
      <c r="N293" s="40">
        <v>35</v>
      </c>
      <c r="O293" s="40">
        <v>8</v>
      </c>
      <c r="P293" s="40">
        <v>8</v>
      </c>
      <c r="Q293" s="278"/>
      <c r="R293" s="278"/>
      <c r="S293" s="279"/>
    </row>
    <row r="294" spans="1:19" s="280" customFormat="1" ht="15" customHeight="1">
      <c r="A294" s="12"/>
      <c r="B294" s="97" t="s">
        <v>384</v>
      </c>
      <c r="C294" s="15" t="s">
        <v>261</v>
      </c>
      <c r="D294" s="40">
        <v>679</v>
      </c>
      <c r="E294" s="40">
        <v>12</v>
      </c>
      <c r="F294" s="40"/>
      <c r="G294" s="40"/>
      <c r="H294" s="40"/>
      <c r="I294" s="40"/>
      <c r="J294" s="40"/>
      <c r="K294" s="40"/>
      <c r="L294" s="40"/>
      <c r="M294" s="40">
        <v>135</v>
      </c>
      <c r="N294" s="40">
        <v>78</v>
      </c>
      <c r="O294" s="40">
        <v>25</v>
      </c>
      <c r="P294" s="40">
        <v>25</v>
      </c>
      <c r="Q294" s="278"/>
      <c r="R294" s="278"/>
      <c r="S294" s="279"/>
    </row>
    <row r="295" spans="1:19" s="280" customFormat="1" ht="15" customHeight="1">
      <c r="A295" s="12"/>
      <c r="B295" s="97" t="s">
        <v>385</v>
      </c>
      <c r="C295" s="15" t="s">
        <v>386</v>
      </c>
      <c r="D295" s="40">
        <v>31</v>
      </c>
      <c r="E295" s="40"/>
      <c r="F295" s="40"/>
      <c r="G295" s="40"/>
      <c r="H295" s="40"/>
      <c r="I295" s="40"/>
      <c r="J295" s="40"/>
      <c r="K295" s="40"/>
      <c r="L295" s="40"/>
      <c r="M295" s="40">
        <v>10</v>
      </c>
      <c r="N295" s="40">
        <v>8</v>
      </c>
      <c r="O295" s="40">
        <v>8</v>
      </c>
      <c r="P295" s="40">
        <v>8</v>
      </c>
      <c r="Q295" s="278"/>
      <c r="R295" s="278"/>
      <c r="S295" s="279"/>
    </row>
    <row r="296" spans="1:19" s="280" customFormat="1" ht="15" customHeight="1">
      <c r="A296" s="12"/>
      <c r="B296" s="97" t="s">
        <v>387</v>
      </c>
      <c r="C296" s="15" t="s">
        <v>563</v>
      </c>
      <c r="D296" s="40">
        <v>6</v>
      </c>
      <c r="E296" s="40">
        <v>1</v>
      </c>
      <c r="F296" s="40"/>
      <c r="G296" s="40"/>
      <c r="H296" s="40"/>
      <c r="I296" s="40"/>
      <c r="J296" s="40"/>
      <c r="K296" s="40"/>
      <c r="L296" s="40"/>
      <c r="M296" s="40">
        <v>2</v>
      </c>
      <c r="N296" s="40">
        <v>1</v>
      </c>
      <c r="O296" s="40"/>
      <c r="P296" s="40"/>
      <c r="Q296" s="278"/>
      <c r="R296" s="278"/>
      <c r="S296" s="279"/>
    </row>
    <row r="297" spans="1:19" s="298" customFormat="1" ht="18.75" customHeight="1">
      <c r="A297" s="12"/>
      <c r="B297" s="97" t="s">
        <v>634</v>
      </c>
      <c r="C297" s="15" t="s">
        <v>639</v>
      </c>
      <c r="D297" s="40">
        <v>69</v>
      </c>
      <c r="E297" s="40">
        <v>6</v>
      </c>
      <c r="F297" s="40">
        <v>25</v>
      </c>
      <c r="G297" s="40">
        <v>71</v>
      </c>
      <c r="H297" s="40">
        <v>101</v>
      </c>
      <c r="I297" s="40">
        <v>101</v>
      </c>
      <c r="J297" s="40">
        <v>101</v>
      </c>
      <c r="K297" s="40">
        <v>101</v>
      </c>
      <c r="L297" s="40">
        <v>9</v>
      </c>
      <c r="M297" s="40">
        <v>8</v>
      </c>
      <c r="N297" s="40">
        <v>2</v>
      </c>
      <c r="O297" s="40">
        <v>2</v>
      </c>
      <c r="P297" s="40">
        <v>2</v>
      </c>
      <c r="Q297" s="297"/>
      <c r="R297" s="282"/>
      <c r="S297" s="282"/>
    </row>
    <row r="298" spans="1:19" s="298" customFormat="1" ht="18.75" customHeight="1">
      <c r="A298" s="12"/>
      <c r="B298" s="97" t="s">
        <v>1059</v>
      </c>
      <c r="C298" s="15" t="s">
        <v>645</v>
      </c>
      <c r="D298" s="40">
        <v>6</v>
      </c>
      <c r="E298" s="40">
        <v>1</v>
      </c>
      <c r="F298" s="40"/>
      <c r="G298" s="40"/>
      <c r="H298" s="40"/>
      <c r="I298" s="40"/>
      <c r="J298" s="40"/>
      <c r="K298" s="40"/>
      <c r="L298" s="40">
        <v>2</v>
      </c>
      <c r="M298" s="40">
        <v>1</v>
      </c>
      <c r="N298" s="40"/>
      <c r="O298" s="40"/>
      <c r="P298" s="40"/>
      <c r="Q298" s="297"/>
      <c r="R298" s="297"/>
      <c r="S298" s="297"/>
    </row>
    <row r="299" spans="1:19" s="280" customFormat="1" ht="15" customHeight="1">
      <c r="A299" s="12"/>
      <c r="B299" s="97" t="s">
        <v>594</v>
      </c>
      <c r="C299" s="15" t="s">
        <v>1052</v>
      </c>
      <c r="D299" s="40">
        <v>24</v>
      </c>
      <c r="E299" s="40">
        <v>2</v>
      </c>
      <c r="F299" s="40"/>
      <c r="G299" s="40"/>
      <c r="H299" s="40"/>
      <c r="I299" s="40"/>
      <c r="J299" s="40"/>
      <c r="K299" s="40"/>
      <c r="L299" s="40"/>
      <c r="M299" s="40">
        <v>5</v>
      </c>
      <c r="N299" s="40">
        <v>4</v>
      </c>
      <c r="O299" s="40">
        <v>2</v>
      </c>
      <c r="P299" s="40">
        <v>2</v>
      </c>
      <c r="Q299" s="278"/>
      <c r="R299" s="278"/>
      <c r="S299" s="279"/>
    </row>
    <row r="300" spans="1:19" s="280" customFormat="1" ht="15" customHeight="1">
      <c r="A300" s="12"/>
      <c r="B300" s="97" t="s">
        <v>388</v>
      </c>
      <c r="C300" s="15" t="s">
        <v>389</v>
      </c>
      <c r="D300" s="40">
        <v>4</v>
      </c>
      <c r="E300" s="40"/>
      <c r="F300" s="40"/>
      <c r="G300" s="40"/>
      <c r="H300" s="40"/>
      <c r="I300" s="40"/>
      <c r="J300" s="40"/>
      <c r="K300" s="40"/>
      <c r="L300" s="40"/>
      <c r="M300" s="40">
        <v>2</v>
      </c>
      <c r="N300" s="40">
        <v>1</v>
      </c>
      <c r="O300" s="40">
        <v>1</v>
      </c>
      <c r="P300" s="40">
        <v>1</v>
      </c>
      <c r="Q300" s="278"/>
      <c r="R300" s="278"/>
      <c r="S300" s="279"/>
    </row>
    <row r="301" spans="1:19" s="280" customFormat="1" ht="15" customHeight="1">
      <c r="A301" s="12"/>
      <c r="B301" s="97" t="s">
        <v>390</v>
      </c>
      <c r="C301" s="15" t="s">
        <v>261</v>
      </c>
      <c r="D301" s="40">
        <v>15</v>
      </c>
      <c r="E301" s="40"/>
      <c r="F301" s="40"/>
      <c r="G301" s="40"/>
      <c r="H301" s="40"/>
      <c r="I301" s="40"/>
      <c r="J301" s="40"/>
      <c r="K301" s="40"/>
      <c r="L301" s="40"/>
      <c r="M301" s="40">
        <v>6</v>
      </c>
      <c r="N301" s="40">
        <v>5</v>
      </c>
      <c r="O301" s="40">
        <v>4</v>
      </c>
      <c r="P301" s="40">
        <v>4</v>
      </c>
      <c r="Q301" s="278"/>
      <c r="R301" s="278"/>
      <c r="S301" s="279"/>
    </row>
    <row r="302" spans="1:19" s="280" customFormat="1" ht="15" customHeight="1">
      <c r="A302" s="12"/>
      <c r="B302" s="97" t="s">
        <v>391</v>
      </c>
      <c r="C302" s="15" t="s">
        <v>471</v>
      </c>
      <c r="D302" s="40">
        <v>28</v>
      </c>
      <c r="E302" s="40"/>
      <c r="F302" s="40"/>
      <c r="G302" s="40"/>
      <c r="H302" s="40"/>
      <c r="I302" s="40"/>
      <c r="J302" s="40"/>
      <c r="K302" s="40"/>
      <c r="L302" s="40"/>
      <c r="M302" s="40">
        <v>12</v>
      </c>
      <c r="N302" s="40">
        <v>10</v>
      </c>
      <c r="O302" s="40">
        <v>10</v>
      </c>
      <c r="P302" s="40">
        <v>10</v>
      </c>
      <c r="Q302" s="278"/>
      <c r="R302" s="278"/>
      <c r="S302" s="279"/>
    </row>
    <row r="303" spans="1:19" s="280" customFormat="1" ht="15" customHeight="1">
      <c r="A303" s="12"/>
      <c r="B303" s="97" t="s">
        <v>392</v>
      </c>
      <c r="C303" s="15" t="s">
        <v>1317</v>
      </c>
      <c r="D303" s="40">
        <v>6</v>
      </c>
      <c r="E303" s="40">
        <v>1</v>
      </c>
      <c r="F303" s="40"/>
      <c r="G303" s="40"/>
      <c r="H303" s="40"/>
      <c r="I303" s="40"/>
      <c r="J303" s="40"/>
      <c r="K303" s="40"/>
      <c r="L303" s="40"/>
      <c r="M303" s="40">
        <v>2</v>
      </c>
      <c r="N303" s="40">
        <v>1</v>
      </c>
      <c r="O303" s="40">
        <v>1</v>
      </c>
      <c r="P303" s="40"/>
      <c r="Q303" s="278"/>
      <c r="R303" s="278"/>
      <c r="S303" s="279"/>
    </row>
    <row r="304" spans="1:19" s="280" customFormat="1" ht="15" customHeight="1">
      <c r="A304" s="12"/>
      <c r="B304" s="97" t="s">
        <v>393</v>
      </c>
      <c r="C304" s="15" t="s">
        <v>565</v>
      </c>
      <c r="D304" s="40">
        <v>25</v>
      </c>
      <c r="E304" s="40">
        <v>4</v>
      </c>
      <c r="F304" s="40"/>
      <c r="G304" s="40"/>
      <c r="H304" s="40"/>
      <c r="I304" s="40"/>
      <c r="J304" s="40"/>
      <c r="K304" s="40"/>
      <c r="L304" s="40"/>
      <c r="M304" s="40">
        <v>7</v>
      </c>
      <c r="N304" s="40">
        <v>4</v>
      </c>
      <c r="O304" s="40">
        <v>2</v>
      </c>
      <c r="P304" s="40">
        <v>1</v>
      </c>
      <c r="Q304" s="278"/>
      <c r="R304" s="278"/>
      <c r="S304" s="279"/>
    </row>
    <row r="305" spans="1:19" s="280" customFormat="1" ht="15" customHeight="1">
      <c r="A305" s="12"/>
      <c r="B305" s="97" t="s">
        <v>394</v>
      </c>
      <c r="C305" s="15" t="s">
        <v>565</v>
      </c>
      <c r="D305" s="40">
        <v>12</v>
      </c>
      <c r="E305" s="40">
        <v>1</v>
      </c>
      <c r="F305" s="40"/>
      <c r="G305" s="40"/>
      <c r="H305" s="40"/>
      <c r="I305" s="40"/>
      <c r="J305" s="40"/>
      <c r="K305" s="40"/>
      <c r="L305" s="40"/>
      <c r="M305" s="40">
        <v>3</v>
      </c>
      <c r="N305" s="40">
        <v>1</v>
      </c>
      <c r="O305" s="40">
        <v>1</v>
      </c>
      <c r="P305" s="40"/>
      <c r="Q305" s="278"/>
      <c r="R305" s="278"/>
      <c r="S305" s="279"/>
    </row>
    <row r="306" spans="1:19" s="280" customFormat="1" ht="18.75" customHeight="1">
      <c r="A306" s="50"/>
      <c r="B306" s="93" t="s">
        <v>670</v>
      </c>
      <c r="C306" s="94"/>
      <c r="D306" s="60">
        <f>D307+D308</f>
        <v>111</v>
      </c>
      <c r="E306" s="60">
        <f aca="true" t="shared" si="5" ref="E306:P306">E307+E308</f>
        <v>2</v>
      </c>
      <c r="F306" s="60">
        <f t="shared" si="5"/>
        <v>25</v>
      </c>
      <c r="G306" s="60">
        <f t="shared" si="5"/>
        <v>49</v>
      </c>
      <c r="H306" s="60">
        <f t="shared" si="5"/>
        <v>71</v>
      </c>
      <c r="I306" s="60">
        <f t="shared" si="5"/>
        <v>71</v>
      </c>
      <c r="J306" s="60">
        <f t="shared" si="5"/>
        <v>71</v>
      </c>
      <c r="K306" s="60">
        <f t="shared" si="5"/>
        <v>71</v>
      </c>
      <c r="L306" s="60">
        <f t="shared" si="5"/>
        <v>20</v>
      </c>
      <c r="M306" s="60">
        <f t="shared" si="5"/>
        <v>21</v>
      </c>
      <c r="N306" s="60">
        <f t="shared" si="5"/>
        <v>18</v>
      </c>
      <c r="O306" s="60">
        <f t="shared" si="5"/>
        <v>7</v>
      </c>
      <c r="P306" s="60">
        <f t="shared" si="5"/>
        <v>7</v>
      </c>
      <c r="Q306" s="278"/>
      <c r="R306" s="278"/>
      <c r="S306" s="279"/>
    </row>
    <row r="307" spans="1:19" s="298" customFormat="1" ht="18.75" customHeight="1">
      <c r="A307" s="12"/>
      <c r="B307" s="97" t="s">
        <v>1054</v>
      </c>
      <c r="C307" s="15" t="s">
        <v>1055</v>
      </c>
      <c r="D307" s="40">
        <v>50</v>
      </c>
      <c r="E307" s="40">
        <v>2</v>
      </c>
      <c r="F307" s="40">
        <v>25</v>
      </c>
      <c r="G307" s="40">
        <v>49</v>
      </c>
      <c r="H307" s="40">
        <v>71</v>
      </c>
      <c r="I307" s="40">
        <v>71</v>
      </c>
      <c r="J307" s="40">
        <v>71</v>
      </c>
      <c r="K307" s="40">
        <v>71</v>
      </c>
      <c r="L307" s="40">
        <v>20</v>
      </c>
      <c r="M307" s="40">
        <v>10</v>
      </c>
      <c r="N307" s="40">
        <v>8</v>
      </c>
      <c r="O307" s="40">
        <v>3</v>
      </c>
      <c r="P307" s="40">
        <v>3</v>
      </c>
      <c r="Q307" s="297"/>
      <c r="R307" s="297"/>
      <c r="S307" s="297"/>
    </row>
    <row r="308" spans="1:19" s="298" customFormat="1" ht="18.75" customHeight="1">
      <c r="A308" s="12"/>
      <c r="B308" s="97" t="s">
        <v>1047</v>
      </c>
      <c r="C308" s="15" t="s">
        <v>1048</v>
      </c>
      <c r="D308" s="40">
        <v>61</v>
      </c>
      <c r="E308" s="40"/>
      <c r="F308" s="40"/>
      <c r="G308" s="40"/>
      <c r="H308" s="40"/>
      <c r="I308" s="40"/>
      <c r="J308" s="40"/>
      <c r="K308" s="40"/>
      <c r="L308" s="40"/>
      <c r="M308" s="40">
        <v>11</v>
      </c>
      <c r="N308" s="40">
        <v>10</v>
      </c>
      <c r="O308" s="40">
        <v>4</v>
      </c>
      <c r="P308" s="40">
        <v>4</v>
      </c>
      <c r="Q308" s="297"/>
      <c r="R308" s="297"/>
      <c r="S308" s="297"/>
    </row>
    <row r="309" spans="1:19" s="280" customFormat="1" ht="18.75" customHeight="1">
      <c r="A309" s="50"/>
      <c r="B309" s="93" t="s">
        <v>37</v>
      </c>
      <c r="C309" s="94"/>
      <c r="D309" s="60">
        <f aca="true" t="shared" si="6" ref="D309:P309">D310+D311+D312+D313+D315+D314</f>
        <v>73</v>
      </c>
      <c r="E309" s="60">
        <f t="shared" si="6"/>
        <v>1</v>
      </c>
      <c r="F309" s="60" t="e">
        <f t="shared" si="6"/>
        <v>#VALUE!</v>
      </c>
      <c r="G309" s="60">
        <f t="shared" si="6"/>
        <v>50</v>
      </c>
      <c r="H309" s="60">
        <f t="shared" si="6"/>
        <v>58</v>
      </c>
      <c r="I309" s="60">
        <f t="shared" si="6"/>
        <v>58</v>
      </c>
      <c r="J309" s="60">
        <f t="shared" si="6"/>
        <v>58</v>
      </c>
      <c r="K309" s="60">
        <f t="shared" si="6"/>
        <v>58</v>
      </c>
      <c r="L309" s="60">
        <f t="shared" si="6"/>
        <v>16</v>
      </c>
      <c r="M309" s="60">
        <f t="shared" si="6"/>
        <v>29</v>
      </c>
      <c r="N309" s="60">
        <f t="shared" si="6"/>
        <v>16</v>
      </c>
      <c r="O309" s="60">
        <f t="shared" si="6"/>
        <v>8</v>
      </c>
      <c r="P309" s="60">
        <f t="shared" si="6"/>
        <v>3</v>
      </c>
      <c r="Q309" s="278"/>
      <c r="R309" s="278"/>
      <c r="S309" s="279"/>
    </row>
    <row r="310" spans="1:19" s="294" customFormat="1" ht="18.75" customHeight="1">
      <c r="A310" s="12"/>
      <c r="B310" s="97" t="s">
        <v>395</v>
      </c>
      <c r="C310" s="15" t="s">
        <v>747</v>
      </c>
      <c r="D310" s="40">
        <v>19</v>
      </c>
      <c r="E310" s="40"/>
      <c r="F310" s="40"/>
      <c r="G310" s="40"/>
      <c r="H310" s="40"/>
      <c r="I310" s="40"/>
      <c r="J310" s="40"/>
      <c r="K310" s="40"/>
      <c r="L310" s="40"/>
      <c r="M310" s="40">
        <v>7</v>
      </c>
      <c r="N310" s="40">
        <v>4</v>
      </c>
      <c r="O310" s="40">
        <v>4</v>
      </c>
      <c r="P310" s="40">
        <v>2</v>
      </c>
      <c r="Q310" s="297"/>
      <c r="R310" s="297"/>
      <c r="S310" s="299"/>
    </row>
    <row r="311" spans="1:19" s="294" customFormat="1" ht="18.75" customHeight="1">
      <c r="A311" s="12"/>
      <c r="B311" s="97" t="s">
        <v>396</v>
      </c>
      <c r="C311" s="15" t="s">
        <v>457</v>
      </c>
      <c r="D311" s="40">
        <v>23</v>
      </c>
      <c r="E311" s="40"/>
      <c r="F311" s="40"/>
      <c r="G311" s="40"/>
      <c r="H311" s="40"/>
      <c r="I311" s="40"/>
      <c r="J311" s="40"/>
      <c r="K311" s="40"/>
      <c r="L311" s="40"/>
      <c r="M311" s="40">
        <v>5</v>
      </c>
      <c r="N311" s="40">
        <v>2</v>
      </c>
      <c r="O311" s="40">
        <v>1</v>
      </c>
      <c r="P311" s="40"/>
      <c r="Q311" s="297"/>
      <c r="R311" s="297"/>
      <c r="S311" s="299"/>
    </row>
    <row r="312" spans="1:19" s="298" customFormat="1" ht="18.75" customHeight="1">
      <c r="A312" s="12"/>
      <c r="B312" s="97" t="s">
        <v>807</v>
      </c>
      <c r="C312" s="15" t="s">
        <v>810</v>
      </c>
      <c r="D312" s="40">
        <v>21</v>
      </c>
      <c r="E312" s="40"/>
      <c r="F312" s="40"/>
      <c r="G312" s="40">
        <v>19</v>
      </c>
      <c r="H312" s="40">
        <v>27</v>
      </c>
      <c r="I312" s="40">
        <v>27</v>
      </c>
      <c r="J312" s="40">
        <v>27</v>
      </c>
      <c r="K312" s="40">
        <v>27</v>
      </c>
      <c r="L312" s="40">
        <v>8</v>
      </c>
      <c r="M312" s="40">
        <v>10</v>
      </c>
      <c r="N312" s="40">
        <v>6</v>
      </c>
      <c r="O312" s="40">
        <v>3</v>
      </c>
      <c r="P312" s="40">
        <v>1</v>
      </c>
      <c r="Q312" s="297"/>
      <c r="R312" s="297"/>
      <c r="S312" s="297"/>
    </row>
    <row r="313" spans="1:19" s="298" customFormat="1" ht="18.75" customHeight="1">
      <c r="A313" s="12"/>
      <c r="B313" s="97" t="s">
        <v>397</v>
      </c>
      <c r="C313" s="15" t="s">
        <v>1046</v>
      </c>
      <c r="D313" s="40">
        <v>3</v>
      </c>
      <c r="E313" s="40">
        <v>1</v>
      </c>
      <c r="F313" s="40"/>
      <c r="G313" s="40"/>
      <c r="H313" s="40"/>
      <c r="I313" s="40"/>
      <c r="J313" s="40"/>
      <c r="K313" s="40"/>
      <c r="L313" s="40"/>
      <c r="M313" s="40">
        <v>3</v>
      </c>
      <c r="N313" s="40">
        <v>2</v>
      </c>
      <c r="O313" s="40"/>
      <c r="P313" s="40"/>
      <c r="Q313" s="297"/>
      <c r="R313" s="297"/>
      <c r="S313" s="297"/>
    </row>
    <row r="314" spans="1:19" s="298" customFormat="1" ht="31.5" customHeight="1">
      <c r="A314" s="12"/>
      <c r="B314" s="105" t="s">
        <v>864</v>
      </c>
      <c r="C314" s="15" t="s">
        <v>865</v>
      </c>
      <c r="D314" s="40">
        <v>3</v>
      </c>
      <c r="E314" s="40"/>
      <c r="F314" s="40" t="s">
        <v>556</v>
      </c>
      <c r="G314" s="40">
        <v>31</v>
      </c>
      <c r="H314" s="40">
        <v>31</v>
      </c>
      <c r="I314" s="40">
        <v>31</v>
      </c>
      <c r="J314" s="40">
        <v>31</v>
      </c>
      <c r="K314" s="40">
        <v>31</v>
      </c>
      <c r="L314" s="40">
        <v>8</v>
      </c>
      <c r="M314" s="40">
        <v>2</v>
      </c>
      <c r="N314" s="40">
        <v>1</v>
      </c>
      <c r="O314" s="40"/>
      <c r="P314" s="40"/>
      <c r="Q314" s="297"/>
      <c r="R314" s="297"/>
      <c r="S314" s="297"/>
    </row>
    <row r="315" spans="1:19" s="298" customFormat="1" ht="18.75" customHeight="1">
      <c r="A315" s="12"/>
      <c r="B315" s="97" t="s">
        <v>398</v>
      </c>
      <c r="C315" s="15" t="s">
        <v>872</v>
      </c>
      <c r="D315" s="40">
        <v>4</v>
      </c>
      <c r="E315" s="40"/>
      <c r="F315" s="40"/>
      <c r="G315" s="40"/>
      <c r="H315" s="40"/>
      <c r="I315" s="40"/>
      <c r="J315" s="40"/>
      <c r="K315" s="40"/>
      <c r="L315" s="40"/>
      <c r="M315" s="40">
        <v>2</v>
      </c>
      <c r="N315" s="40">
        <v>1</v>
      </c>
      <c r="O315" s="40"/>
      <c r="P315" s="40"/>
      <c r="Q315" s="297"/>
      <c r="R315" s="297"/>
      <c r="S315" s="297"/>
    </row>
    <row r="316" spans="1:188" s="57" customFormat="1" ht="18" customHeight="1">
      <c r="A316" s="13">
        <v>30</v>
      </c>
      <c r="B316" s="92" t="s">
        <v>170</v>
      </c>
      <c r="C316" s="45"/>
      <c r="D316" s="44">
        <v>386</v>
      </c>
      <c r="E316" s="44">
        <v>22</v>
      </c>
      <c r="F316" s="44">
        <v>289</v>
      </c>
      <c r="G316" s="44">
        <v>386</v>
      </c>
      <c r="H316" s="44">
        <v>386</v>
      </c>
      <c r="I316" s="44">
        <v>386</v>
      </c>
      <c r="J316" s="44">
        <v>386</v>
      </c>
      <c r="K316" s="44">
        <v>386</v>
      </c>
      <c r="L316" s="44">
        <v>4</v>
      </c>
      <c r="M316" s="44">
        <v>2</v>
      </c>
      <c r="N316" s="44" t="str">
        <f>N317</f>
        <v> -</v>
      </c>
      <c r="O316" s="44" t="str">
        <f>O317</f>
        <v> -</v>
      </c>
      <c r="P316" s="44" t="str">
        <f>P317</f>
        <v> -</v>
      </c>
      <c r="Q316" s="54" t="s">
        <v>648</v>
      </c>
      <c r="R316" s="54">
        <v>10</v>
      </c>
      <c r="S316" s="55" t="s">
        <v>732</v>
      </c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56"/>
      <c r="BM316" s="56"/>
      <c r="BN316" s="56"/>
      <c r="BO316" s="56"/>
      <c r="BP316" s="56"/>
      <c r="BQ316" s="56"/>
      <c r="BR316" s="56"/>
      <c r="BS316" s="56"/>
      <c r="BT316" s="56"/>
      <c r="BU316" s="56"/>
      <c r="BV316" s="56"/>
      <c r="BW316" s="56"/>
      <c r="BX316" s="56"/>
      <c r="BY316" s="56"/>
      <c r="BZ316" s="56"/>
      <c r="CA316" s="56"/>
      <c r="CB316" s="56"/>
      <c r="CC316" s="56"/>
      <c r="CD316" s="56"/>
      <c r="CE316" s="56"/>
      <c r="CF316" s="56"/>
      <c r="CG316" s="56"/>
      <c r="CH316" s="56"/>
      <c r="CI316" s="56"/>
      <c r="CJ316" s="56"/>
      <c r="CK316" s="56"/>
      <c r="CL316" s="56"/>
      <c r="CM316" s="56"/>
      <c r="CN316" s="56"/>
      <c r="CO316" s="56"/>
      <c r="CP316" s="56"/>
      <c r="CQ316" s="56"/>
      <c r="CR316" s="56"/>
      <c r="CS316" s="56"/>
      <c r="CT316" s="56"/>
      <c r="CU316" s="56"/>
      <c r="CV316" s="56"/>
      <c r="CW316" s="56"/>
      <c r="CX316" s="56"/>
      <c r="CY316" s="56"/>
      <c r="CZ316" s="56"/>
      <c r="DA316" s="56"/>
      <c r="DB316" s="56"/>
      <c r="DC316" s="56"/>
      <c r="DD316" s="56"/>
      <c r="DE316" s="56"/>
      <c r="DF316" s="56"/>
      <c r="DG316" s="56"/>
      <c r="DH316" s="56"/>
      <c r="DI316" s="56"/>
      <c r="DJ316" s="56"/>
      <c r="DK316" s="56"/>
      <c r="DL316" s="56"/>
      <c r="DM316" s="56"/>
      <c r="DN316" s="56"/>
      <c r="DO316" s="56"/>
      <c r="DP316" s="56"/>
      <c r="DQ316" s="56"/>
      <c r="DR316" s="56"/>
      <c r="DS316" s="56"/>
      <c r="DT316" s="56"/>
      <c r="DU316" s="56"/>
      <c r="DV316" s="56"/>
      <c r="DW316" s="56"/>
      <c r="DX316" s="56"/>
      <c r="DY316" s="56"/>
      <c r="DZ316" s="56"/>
      <c r="EA316" s="56"/>
      <c r="EB316" s="56"/>
      <c r="EC316" s="56"/>
      <c r="ED316" s="56"/>
      <c r="EE316" s="56"/>
      <c r="EF316" s="56"/>
      <c r="EG316" s="56"/>
      <c r="EH316" s="56"/>
      <c r="EI316" s="56"/>
      <c r="EJ316" s="56"/>
      <c r="EK316" s="56"/>
      <c r="EL316" s="56"/>
      <c r="EM316" s="56"/>
      <c r="EN316" s="56"/>
      <c r="EO316" s="56"/>
      <c r="EP316" s="56"/>
      <c r="EQ316" s="56"/>
      <c r="ER316" s="56"/>
      <c r="ES316" s="56"/>
      <c r="ET316" s="56"/>
      <c r="EU316" s="56"/>
      <c r="EV316" s="56"/>
      <c r="EW316" s="56"/>
      <c r="EX316" s="56"/>
      <c r="EY316" s="56"/>
      <c r="EZ316" s="56"/>
      <c r="FA316" s="56"/>
      <c r="FB316" s="56"/>
      <c r="FC316" s="56"/>
      <c r="FD316" s="56"/>
      <c r="FE316" s="56"/>
      <c r="FF316" s="56"/>
      <c r="FG316" s="56"/>
      <c r="FH316" s="56"/>
      <c r="FI316" s="56"/>
      <c r="FJ316" s="56"/>
      <c r="FK316" s="56"/>
      <c r="FL316" s="56"/>
      <c r="FM316" s="56"/>
      <c r="FN316" s="56"/>
      <c r="FO316" s="56"/>
      <c r="FP316" s="56"/>
      <c r="FQ316" s="56"/>
      <c r="FR316" s="56"/>
      <c r="FS316" s="56"/>
      <c r="FT316" s="56"/>
      <c r="FU316" s="56"/>
      <c r="FV316" s="56"/>
      <c r="FW316" s="56"/>
      <c r="FX316" s="56"/>
      <c r="FY316" s="56"/>
      <c r="FZ316" s="56"/>
      <c r="GA316" s="56"/>
      <c r="GB316" s="56"/>
      <c r="GC316" s="56"/>
      <c r="GD316" s="56"/>
      <c r="GE316" s="56"/>
      <c r="GF316" s="56"/>
    </row>
    <row r="317" spans="1:48" s="18" customFormat="1" ht="16.5" customHeight="1">
      <c r="A317" s="50"/>
      <c r="B317" s="93" t="s">
        <v>669</v>
      </c>
      <c r="C317" s="16"/>
      <c r="D317" s="52"/>
      <c r="E317" s="52"/>
      <c r="F317" s="52"/>
      <c r="G317" s="52"/>
      <c r="H317" s="52"/>
      <c r="I317" s="52"/>
      <c r="J317" s="52"/>
      <c r="K317" s="52"/>
      <c r="L317" s="60">
        <v>3</v>
      </c>
      <c r="M317" s="60">
        <v>2</v>
      </c>
      <c r="N317" s="60" t="s">
        <v>556</v>
      </c>
      <c r="O317" s="60" t="s">
        <v>556</v>
      </c>
      <c r="P317" s="60" t="s">
        <v>556</v>
      </c>
      <c r="Q317" s="23"/>
      <c r="R317" s="23"/>
      <c r="S317" s="1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</row>
    <row r="318" spans="1:48" s="27" customFormat="1" ht="15.75" customHeight="1">
      <c r="A318" s="12"/>
      <c r="B318" s="97" t="s">
        <v>560</v>
      </c>
      <c r="C318" s="29" t="s">
        <v>741</v>
      </c>
      <c r="D318" s="51"/>
      <c r="E318" s="51"/>
      <c r="F318" s="51">
        <v>2</v>
      </c>
      <c r="G318" s="51">
        <v>58</v>
      </c>
      <c r="H318" s="51">
        <v>58</v>
      </c>
      <c r="I318" s="51">
        <v>58</v>
      </c>
      <c r="J318" s="51">
        <v>58</v>
      </c>
      <c r="K318" s="51">
        <v>58</v>
      </c>
      <c r="L318" s="40">
        <v>2</v>
      </c>
      <c r="M318" s="40" t="s">
        <v>556</v>
      </c>
      <c r="N318" s="40" t="s">
        <v>556</v>
      </c>
      <c r="O318" s="40" t="s">
        <v>556</v>
      </c>
      <c r="P318" s="40" t="s">
        <v>556</v>
      </c>
      <c r="Q318" s="33"/>
      <c r="R318" s="28"/>
      <c r="S318" s="2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</row>
    <row r="319" spans="1:48" s="27" customFormat="1" ht="15.75" customHeight="1">
      <c r="A319" s="12"/>
      <c r="B319" s="97" t="s">
        <v>594</v>
      </c>
      <c r="C319" s="29" t="s">
        <v>783</v>
      </c>
      <c r="D319" s="51"/>
      <c r="E319" s="51"/>
      <c r="F319" s="51"/>
      <c r="G319" s="51">
        <v>66</v>
      </c>
      <c r="H319" s="51">
        <v>66</v>
      </c>
      <c r="I319" s="51">
        <v>66</v>
      </c>
      <c r="J319" s="51">
        <v>66</v>
      </c>
      <c r="K319" s="51">
        <v>66</v>
      </c>
      <c r="L319" s="40">
        <v>1</v>
      </c>
      <c r="M319" s="40">
        <v>2</v>
      </c>
      <c r="N319" s="40" t="s">
        <v>556</v>
      </c>
      <c r="O319" s="40" t="s">
        <v>556</v>
      </c>
      <c r="P319" s="40" t="s">
        <v>556</v>
      </c>
      <c r="Q319" s="33"/>
      <c r="R319" s="33"/>
      <c r="S319" s="33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</row>
    <row r="320" spans="1:48" s="18" customFormat="1" ht="16.5" customHeight="1">
      <c r="A320" s="50"/>
      <c r="B320" s="93" t="s">
        <v>670</v>
      </c>
      <c r="C320" s="16"/>
      <c r="D320" s="52"/>
      <c r="E320" s="51"/>
      <c r="F320" s="52"/>
      <c r="G320" s="52"/>
      <c r="H320" s="52"/>
      <c r="I320" s="52"/>
      <c r="J320" s="52"/>
      <c r="K320" s="52"/>
      <c r="L320" s="60">
        <f>L321</f>
        <v>1</v>
      </c>
      <c r="M320" s="60" t="str">
        <f>M321</f>
        <v> -</v>
      </c>
      <c r="N320" s="60" t="str">
        <f>N321</f>
        <v> -</v>
      </c>
      <c r="O320" s="60" t="str">
        <f>O321</f>
        <v> -</v>
      </c>
      <c r="P320" s="60" t="str">
        <f>P321</f>
        <v> -</v>
      </c>
      <c r="Q320" s="23"/>
      <c r="R320" s="23"/>
      <c r="S320" s="1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</row>
    <row r="321" spans="1:48" s="27" customFormat="1" ht="18.75" customHeight="1">
      <c r="A321" s="12"/>
      <c r="B321" s="97" t="s">
        <v>742</v>
      </c>
      <c r="C321" s="15" t="s">
        <v>743</v>
      </c>
      <c r="D321" s="51"/>
      <c r="E321" s="51"/>
      <c r="F321" s="51" t="s">
        <v>556</v>
      </c>
      <c r="G321" s="51">
        <v>32</v>
      </c>
      <c r="H321" s="51">
        <v>32</v>
      </c>
      <c r="I321" s="51">
        <v>32</v>
      </c>
      <c r="J321" s="51">
        <v>32</v>
      </c>
      <c r="K321" s="51">
        <v>32</v>
      </c>
      <c r="L321" s="40">
        <v>1</v>
      </c>
      <c r="M321" s="40" t="s">
        <v>556</v>
      </c>
      <c r="N321" s="40" t="s">
        <v>556</v>
      </c>
      <c r="O321" s="40" t="s">
        <v>556</v>
      </c>
      <c r="P321" s="40" t="s">
        <v>556</v>
      </c>
      <c r="Q321" s="33"/>
      <c r="R321" s="33"/>
      <c r="S321" s="33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</row>
    <row r="322" spans="1:19" ht="13.5" customHeight="1">
      <c r="A322" s="400" t="s">
        <v>909</v>
      </c>
      <c r="B322" s="400"/>
      <c r="C322" s="400"/>
      <c r="D322" s="400"/>
      <c r="E322" s="400"/>
      <c r="F322" s="400"/>
      <c r="G322" s="400"/>
      <c r="H322" s="400"/>
      <c r="I322" s="400"/>
      <c r="J322" s="400"/>
      <c r="K322" s="400"/>
      <c r="L322" s="400"/>
      <c r="M322" s="400"/>
      <c r="N322" s="400"/>
      <c r="O322" s="400"/>
      <c r="P322" s="400"/>
      <c r="Q322" s="21"/>
      <c r="R322" s="21"/>
      <c r="S322" s="8"/>
    </row>
    <row r="323" spans="1:188" s="57" customFormat="1" ht="18" customHeight="1">
      <c r="A323" s="13">
        <v>31</v>
      </c>
      <c r="B323" s="92" t="s">
        <v>171</v>
      </c>
      <c r="C323" s="45"/>
      <c r="D323" s="44">
        <v>49</v>
      </c>
      <c r="E323" s="44">
        <v>13</v>
      </c>
      <c r="F323" s="44"/>
      <c r="G323" s="44">
        <v>49</v>
      </c>
      <c r="H323" s="44">
        <v>49</v>
      </c>
      <c r="I323" s="44">
        <v>49</v>
      </c>
      <c r="J323" s="44">
        <v>49</v>
      </c>
      <c r="K323" s="44">
        <v>49</v>
      </c>
      <c r="L323" s="44">
        <f>L324</f>
        <v>4</v>
      </c>
      <c r="M323" s="44">
        <f>M324</f>
        <v>2</v>
      </c>
      <c r="N323" s="44">
        <f>N324</f>
        <v>2</v>
      </c>
      <c r="O323" s="44">
        <f>O324</f>
        <v>2</v>
      </c>
      <c r="P323" s="44" t="s">
        <v>556</v>
      </c>
      <c r="Q323" s="54" t="s">
        <v>649</v>
      </c>
      <c r="R323" s="54">
        <v>10</v>
      </c>
      <c r="S323" s="55" t="s">
        <v>912</v>
      </c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6"/>
      <c r="BQ323" s="56"/>
      <c r="BR323" s="56"/>
      <c r="BS323" s="56"/>
      <c r="BT323" s="56"/>
      <c r="BU323" s="56"/>
      <c r="BV323" s="56"/>
      <c r="BW323" s="56"/>
      <c r="BX323" s="56"/>
      <c r="BY323" s="56"/>
      <c r="BZ323" s="56"/>
      <c r="CA323" s="56"/>
      <c r="CB323" s="56"/>
      <c r="CC323" s="56"/>
      <c r="CD323" s="56"/>
      <c r="CE323" s="56"/>
      <c r="CF323" s="56"/>
      <c r="CG323" s="56"/>
      <c r="CH323" s="56"/>
      <c r="CI323" s="56"/>
      <c r="CJ323" s="56"/>
      <c r="CK323" s="56"/>
      <c r="CL323" s="56"/>
      <c r="CM323" s="56"/>
      <c r="CN323" s="56"/>
      <c r="CO323" s="56"/>
      <c r="CP323" s="56"/>
      <c r="CQ323" s="56"/>
      <c r="CR323" s="56"/>
      <c r="CS323" s="56"/>
      <c r="CT323" s="56"/>
      <c r="CU323" s="56"/>
      <c r="CV323" s="56"/>
      <c r="CW323" s="56"/>
      <c r="CX323" s="56"/>
      <c r="CY323" s="56"/>
      <c r="CZ323" s="56"/>
      <c r="DA323" s="56"/>
      <c r="DB323" s="56"/>
      <c r="DC323" s="56"/>
      <c r="DD323" s="56"/>
      <c r="DE323" s="56"/>
      <c r="DF323" s="56"/>
      <c r="DG323" s="56"/>
      <c r="DH323" s="56"/>
      <c r="DI323" s="56"/>
      <c r="DJ323" s="56"/>
      <c r="DK323" s="56"/>
      <c r="DL323" s="56"/>
      <c r="DM323" s="56"/>
      <c r="DN323" s="56"/>
      <c r="DO323" s="56"/>
      <c r="DP323" s="56"/>
      <c r="DQ323" s="56"/>
      <c r="DR323" s="56"/>
      <c r="DS323" s="56"/>
      <c r="DT323" s="56"/>
      <c r="DU323" s="56"/>
      <c r="DV323" s="56"/>
      <c r="DW323" s="56"/>
      <c r="DX323" s="56"/>
      <c r="DY323" s="56"/>
      <c r="DZ323" s="56"/>
      <c r="EA323" s="56"/>
      <c r="EB323" s="56"/>
      <c r="EC323" s="56"/>
      <c r="ED323" s="56"/>
      <c r="EE323" s="56"/>
      <c r="EF323" s="56"/>
      <c r="EG323" s="56"/>
      <c r="EH323" s="56"/>
      <c r="EI323" s="56"/>
      <c r="EJ323" s="56"/>
      <c r="EK323" s="56"/>
      <c r="EL323" s="56"/>
      <c r="EM323" s="56"/>
      <c r="EN323" s="56"/>
      <c r="EO323" s="56"/>
      <c r="EP323" s="56"/>
      <c r="EQ323" s="56"/>
      <c r="ER323" s="56"/>
      <c r="ES323" s="56"/>
      <c r="ET323" s="56"/>
      <c r="EU323" s="56"/>
      <c r="EV323" s="56"/>
      <c r="EW323" s="56"/>
      <c r="EX323" s="56"/>
      <c r="EY323" s="56"/>
      <c r="EZ323" s="56"/>
      <c r="FA323" s="56"/>
      <c r="FB323" s="56"/>
      <c r="FC323" s="56"/>
      <c r="FD323" s="56"/>
      <c r="FE323" s="56"/>
      <c r="FF323" s="56"/>
      <c r="FG323" s="56"/>
      <c r="FH323" s="56"/>
      <c r="FI323" s="56"/>
      <c r="FJ323" s="56"/>
      <c r="FK323" s="56"/>
      <c r="FL323" s="56"/>
      <c r="FM323" s="56"/>
      <c r="FN323" s="56"/>
      <c r="FO323" s="56"/>
      <c r="FP323" s="56"/>
      <c r="FQ323" s="56"/>
      <c r="FR323" s="56"/>
      <c r="FS323" s="56"/>
      <c r="FT323" s="56"/>
      <c r="FU323" s="56"/>
      <c r="FV323" s="56"/>
      <c r="FW323" s="56"/>
      <c r="FX323" s="56"/>
      <c r="FY323" s="56"/>
      <c r="FZ323" s="56"/>
      <c r="GA323" s="56"/>
      <c r="GB323" s="56"/>
      <c r="GC323" s="56"/>
      <c r="GD323" s="56"/>
      <c r="GE323" s="56"/>
      <c r="GF323" s="56"/>
    </row>
    <row r="324" spans="1:48" s="18" customFormat="1" ht="16.5" customHeight="1">
      <c r="A324" s="50"/>
      <c r="B324" s="93" t="s">
        <v>669</v>
      </c>
      <c r="C324" s="16"/>
      <c r="D324" s="52"/>
      <c r="E324" s="52"/>
      <c r="F324" s="52"/>
      <c r="G324" s="52"/>
      <c r="H324" s="52"/>
      <c r="I324" s="52"/>
      <c r="J324" s="52"/>
      <c r="K324" s="52"/>
      <c r="L324" s="60">
        <f>SUM(L325:L327)</f>
        <v>4</v>
      </c>
      <c r="M324" s="60">
        <f>SUM(M325:M327)</f>
        <v>2</v>
      </c>
      <c r="N324" s="60">
        <f>SUM(N325:N327)</f>
        <v>2</v>
      </c>
      <c r="O324" s="60">
        <f>SUM(O325:O327)</f>
        <v>2</v>
      </c>
      <c r="P324" s="60" t="s">
        <v>556</v>
      </c>
      <c r="Q324" s="23"/>
      <c r="R324" s="23"/>
      <c r="S324" s="1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</row>
    <row r="325" spans="1:48" s="27" customFormat="1" ht="15.75" customHeight="1">
      <c r="A325" s="12"/>
      <c r="B325" s="97" t="s">
        <v>594</v>
      </c>
      <c r="C325" s="29" t="s">
        <v>783</v>
      </c>
      <c r="D325" s="51"/>
      <c r="E325" s="51"/>
      <c r="F325" s="51"/>
      <c r="G325" s="51">
        <v>7</v>
      </c>
      <c r="H325" s="51">
        <v>7</v>
      </c>
      <c r="I325" s="51">
        <v>7</v>
      </c>
      <c r="J325" s="51">
        <v>7</v>
      </c>
      <c r="K325" s="51">
        <v>7</v>
      </c>
      <c r="L325" s="40">
        <v>1</v>
      </c>
      <c r="M325" s="40" t="s">
        <v>556</v>
      </c>
      <c r="N325" s="40">
        <v>1</v>
      </c>
      <c r="O325" s="40">
        <v>1</v>
      </c>
      <c r="P325" s="40" t="s">
        <v>556</v>
      </c>
      <c r="Q325" s="33"/>
      <c r="R325" s="28"/>
      <c r="S325" s="2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</row>
    <row r="326" spans="1:48" s="27" customFormat="1" ht="15.75" customHeight="1">
      <c r="A326" s="12"/>
      <c r="B326" s="97" t="s">
        <v>1049</v>
      </c>
      <c r="C326" s="29" t="s">
        <v>1050</v>
      </c>
      <c r="D326" s="51"/>
      <c r="E326" s="51"/>
      <c r="F326" s="51">
        <v>26</v>
      </c>
      <c r="G326" s="51">
        <v>6</v>
      </c>
      <c r="H326" s="51">
        <v>6</v>
      </c>
      <c r="I326" s="51">
        <v>6</v>
      </c>
      <c r="J326" s="51">
        <v>6</v>
      </c>
      <c r="K326" s="51">
        <v>6</v>
      </c>
      <c r="L326" s="40">
        <v>2</v>
      </c>
      <c r="M326" s="40">
        <v>1</v>
      </c>
      <c r="N326" s="40">
        <v>1</v>
      </c>
      <c r="O326" s="40">
        <v>1</v>
      </c>
      <c r="P326" s="40" t="s">
        <v>556</v>
      </c>
      <c r="Q326" s="33"/>
      <c r="R326" s="28"/>
      <c r="S326" s="2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</row>
    <row r="327" spans="1:48" s="27" customFormat="1" ht="15.75" customHeight="1">
      <c r="A327" s="12"/>
      <c r="B327" s="97" t="s">
        <v>560</v>
      </c>
      <c r="C327" s="29" t="s">
        <v>741</v>
      </c>
      <c r="D327" s="51"/>
      <c r="E327" s="51"/>
      <c r="F327" s="51">
        <v>2</v>
      </c>
      <c r="G327" s="51">
        <v>2</v>
      </c>
      <c r="H327" s="51">
        <v>2</v>
      </c>
      <c r="I327" s="51">
        <v>2</v>
      </c>
      <c r="J327" s="51">
        <v>2</v>
      </c>
      <c r="K327" s="51">
        <v>2</v>
      </c>
      <c r="L327" s="40">
        <v>1</v>
      </c>
      <c r="M327" s="40">
        <v>1</v>
      </c>
      <c r="N327" s="40" t="s">
        <v>556</v>
      </c>
      <c r="O327" s="40" t="s">
        <v>556</v>
      </c>
      <c r="P327" s="40" t="s">
        <v>556</v>
      </c>
      <c r="Q327" s="33"/>
      <c r="R327" s="28"/>
      <c r="S327" s="2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</row>
    <row r="328" spans="1:19" ht="14.25" customHeight="1">
      <c r="A328" s="399" t="s">
        <v>656</v>
      </c>
      <c r="B328" s="399"/>
      <c r="C328" s="399"/>
      <c r="D328" s="399"/>
      <c r="E328" s="399"/>
      <c r="F328" s="399"/>
      <c r="G328" s="399"/>
      <c r="H328" s="399"/>
      <c r="I328" s="399"/>
      <c r="J328" s="399"/>
      <c r="K328" s="399"/>
      <c r="L328" s="399"/>
      <c r="M328" s="399"/>
      <c r="N328" s="399"/>
      <c r="O328" s="399"/>
      <c r="P328" s="399"/>
      <c r="Q328" s="20"/>
      <c r="R328" s="20"/>
      <c r="S328" s="7"/>
    </row>
    <row r="329" spans="1:19" ht="13.5" customHeight="1">
      <c r="A329" s="400" t="s">
        <v>676</v>
      </c>
      <c r="B329" s="400"/>
      <c r="C329" s="400"/>
      <c r="D329" s="400"/>
      <c r="E329" s="400"/>
      <c r="F329" s="400"/>
      <c r="G329" s="400"/>
      <c r="H329" s="400"/>
      <c r="I329" s="400"/>
      <c r="J329" s="400"/>
      <c r="K329" s="400"/>
      <c r="L329" s="400"/>
      <c r="M329" s="400"/>
      <c r="N329" s="400"/>
      <c r="O329" s="400"/>
      <c r="P329" s="400"/>
      <c r="Q329" s="21"/>
      <c r="R329" s="21"/>
      <c r="S329" s="8"/>
    </row>
    <row r="330" spans="1:188" s="57" customFormat="1" ht="18" customHeight="1">
      <c r="A330" s="13">
        <v>32</v>
      </c>
      <c r="B330" s="92" t="s">
        <v>176</v>
      </c>
      <c r="C330" s="45"/>
      <c r="D330" s="44">
        <v>103</v>
      </c>
      <c r="E330" s="44">
        <v>9</v>
      </c>
      <c r="F330" s="44">
        <v>124</v>
      </c>
      <c r="G330" s="44">
        <v>103</v>
      </c>
      <c r="H330" s="44">
        <v>103</v>
      </c>
      <c r="I330" s="44">
        <v>103</v>
      </c>
      <c r="J330" s="44">
        <v>103</v>
      </c>
      <c r="K330" s="44">
        <v>103</v>
      </c>
      <c r="L330" s="44">
        <v>2</v>
      </c>
      <c r="M330" s="44">
        <v>4</v>
      </c>
      <c r="N330" s="44">
        <v>1</v>
      </c>
      <c r="O330" s="44" t="str">
        <f>O331</f>
        <v> -</v>
      </c>
      <c r="P330" s="44">
        <v>2</v>
      </c>
      <c r="Q330" s="54" t="s">
        <v>648</v>
      </c>
      <c r="R330" s="54">
        <v>11</v>
      </c>
      <c r="S330" s="55" t="s">
        <v>903</v>
      </c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56"/>
      <c r="BM330" s="56"/>
      <c r="BN330" s="56"/>
      <c r="BO330" s="56"/>
      <c r="BP330" s="56"/>
      <c r="BQ330" s="56"/>
      <c r="BR330" s="56"/>
      <c r="BS330" s="56"/>
      <c r="BT330" s="56"/>
      <c r="BU330" s="56"/>
      <c r="BV330" s="56"/>
      <c r="BW330" s="56"/>
      <c r="BX330" s="56"/>
      <c r="BY330" s="56"/>
      <c r="BZ330" s="56"/>
      <c r="CA330" s="56"/>
      <c r="CB330" s="56"/>
      <c r="CC330" s="56"/>
      <c r="CD330" s="56"/>
      <c r="CE330" s="56"/>
      <c r="CF330" s="56"/>
      <c r="CG330" s="56"/>
      <c r="CH330" s="56"/>
      <c r="CI330" s="56"/>
      <c r="CJ330" s="56"/>
      <c r="CK330" s="56"/>
      <c r="CL330" s="56"/>
      <c r="CM330" s="56"/>
      <c r="CN330" s="56"/>
      <c r="CO330" s="56"/>
      <c r="CP330" s="56"/>
      <c r="CQ330" s="56"/>
      <c r="CR330" s="56"/>
      <c r="CS330" s="56"/>
      <c r="CT330" s="56"/>
      <c r="CU330" s="56"/>
      <c r="CV330" s="56"/>
      <c r="CW330" s="56"/>
      <c r="CX330" s="56"/>
      <c r="CY330" s="56"/>
      <c r="CZ330" s="56"/>
      <c r="DA330" s="56"/>
      <c r="DB330" s="56"/>
      <c r="DC330" s="56"/>
      <c r="DD330" s="56"/>
      <c r="DE330" s="56"/>
      <c r="DF330" s="56"/>
      <c r="DG330" s="56"/>
      <c r="DH330" s="56"/>
      <c r="DI330" s="56"/>
      <c r="DJ330" s="56"/>
      <c r="DK330" s="56"/>
      <c r="DL330" s="56"/>
      <c r="DM330" s="56"/>
      <c r="DN330" s="56"/>
      <c r="DO330" s="56"/>
      <c r="DP330" s="56"/>
      <c r="DQ330" s="56"/>
      <c r="DR330" s="56"/>
      <c r="DS330" s="56"/>
      <c r="DT330" s="56"/>
      <c r="DU330" s="56"/>
      <c r="DV330" s="56"/>
      <c r="DW330" s="56"/>
      <c r="DX330" s="56"/>
      <c r="DY330" s="56"/>
      <c r="DZ330" s="56"/>
      <c r="EA330" s="56"/>
      <c r="EB330" s="56"/>
      <c r="EC330" s="56"/>
      <c r="ED330" s="56"/>
      <c r="EE330" s="56"/>
      <c r="EF330" s="56"/>
      <c r="EG330" s="56"/>
      <c r="EH330" s="56"/>
      <c r="EI330" s="56"/>
      <c r="EJ330" s="56"/>
      <c r="EK330" s="56"/>
      <c r="EL330" s="56"/>
      <c r="EM330" s="56"/>
      <c r="EN330" s="56"/>
      <c r="EO330" s="56"/>
      <c r="EP330" s="56"/>
      <c r="EQ330" s="56"/>
      <c r="ER330" s="56"/>
      <c r="ES330" s="56"/>
      <c r="ET330" s="56"/>
      <c r="EU330" s="56"/>
      <c r="EV330" s="56"/>
      <c r="EW330" s="56"/>
      <c r="EX330" s="56"/>
      <c r="EY330" s="56"/>
      <c r="EZ330" s="56"/>
      <c r="FA330" s="56"/>
      <c r="FB330" s="56"/>
      <c r="FC330" s="56"/>
      <c r="FD330" s="56"/>
      <c r="FE330" s="56"/>
      <c r="FF330" s="56"/>
      <c r="FG330" s="56"/>
      <c r="FH330" s="56"/>
      <c r="FI330" s="56"/>
      <c r="FJ330" s="56"/>
      <c r="FK330" s="56"/>
      <c r="FL330" s="56"/>
      <c r="FM330" s="56"/>
      <c r="FN330" s="56"/>
      <c r="FO330" s="56"/>
      <c r="FP330" s="56"/>
      <c r="FQ330" s="56"/>
      <c r="FR330" s="56"/>
      <c r="FS330" s="56"/>
      <c r="FT330" s="56"/>
      <c r="FU330" s="56"/>
      <c r="FV330" s="56"/>
      <c r="FW330" s="56"/>
      <c r="FX330" s="56"/>
      <c r="FY330" s="56"/>
      <c r="FZ330" s="56"/>
      <c r="GA330" s="56"/>
      <c r="GB330" s="56"/>
      <c r="GC330" s="56"/>
      <c r="GD330" s="56"/>
      <c r="GE330" s="56"/>
      <c r="GF330" s="56"/>
    </row>
    <row r="331" spans="1:48" s="18" customFormat="1" ht="18" customHeight="1">
      <c r="A331" s="50"/>
      <c r="B331" s="93" t="s">
        <v>669</v>
      </c>
      <c r="C331" s="16"/>
      <c r="D331" s="52"/>
      <c r="E331" s="52"/>
      <c r="F331" s="52"/>
      <c r="G331" s="52"/>
      <c r="H331" s="52"/>
      <c r="I331" s="52"/>
      <c r="J331" s="52"/>
      <c r="K331" s="52"/>
      <c r="L331" s="60">
        <v>2</v>
      </c>
      <c r="M331" s="60">
        <v>3</v>
      </c>
      <c r="N331" s="60">
        <v>1</v>
      </c>
      <c r="O331" s="60" t="s">
        <v>556</v>
      </c>
      <c r="P331" s="60">
        <v>1</v>
      </c>
      <c r="Q331" s="23"/>
      <c r="R331" s="23"/>
      <c r="S331" s="1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</row>
    <row r="332" spans="1:48" s="27" customFormat="1" ht="15.75" customHeight="1">
      <c r="A332" s="12"/>
      <c r="B332" s="97" t="s">
        <v>1049</v>
      </c>
      <c r="C332" s="29" t="s">
        <v>1050</v>
      </c>
      <c r="D332" s="51"/>
      <c r="E332" s="51"/>
      <c r="F332" s="51">
        <v>26</v>
      </c>
      <c r="G332" s="51">
        <v>15</v>
      </c>
      <c r="H332" s="51">
        <v>15</v>
      </c>
      <c r="I332" s="51">
        <v>15</v>
      </c>
      <c r="J332" s="51">
        <v>15</v>
      </c>
      <c r="K332" s="51">
        <v>15</v>
      </c>
      <c r="L332" s="40">
        <v>1</v>
      </c>
      <c r="M332" s="40">
        <v>1</v>
      </c>
      <c r="N332" s="40" t="s">
        <v>556</v>
      </c>
      <c r="O332" s="40" t="s">
        <v>556</v>
      </c>
      <c r="P332" s="40" t="s">
        <v>556</v>
      </c>
      <c r="Q332" s="33"/>
      <c r="R332" s="28"/>
      <c r="S332" s="2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</row>
    <row r="333" spans="1:48" s="27" customFormat="1" ht="15.75" customHeight="1">
      <c r="A333" s="12"/>
      <c r="B333" s="97" t="s">
        <v>594</v>
      </c>
      <c r="C333" s="29" t="s">
        <v>783</v>
      </c>
      <c r="D333" s="51"/>
      <c r="E333" s="51"/>
      <c r="F333" s="51"/>
      <c r="G333" s="51">
        <v>20</v>
      </c>
      <c r="H333" s="51">
        <v>20</v>
      </c>
      <c r="I333" s="51">
        <v>20</v>
      </c>
      <c r="J333" s="51">
        <v>20</v>
      </c>
      <c r="K333" s="51">
        <v>20</v>
      </c>
      <c r="L333" s="40">
        <v>1</v>
      </c>
      <c r="M333" s="40" t="s">
        <v>556</v>
      </c>
      <c r="N333" s="40">
        <v>1</v>
      </c>
      <c r="O333" s="40" t="s">
        <v>556</v>
      </c>
      <c r="P333" s="40">
        <v>1</v>
      </c>
      <c r="Q333" s="33"/>
      <c r="R333" s="33"/>
      <c r="S333" s="33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</row>
    <row r="334" spans="1:48" s="27" customFormat="1" ht="15.75" customHeight="1">
      <c r="A334" s="12"/>
      <c r="B334" s="97" t="s">
        <v>1047</v>
      </c>
      <c r="C334" s="29" t="s">
        <v>1048</v>
      </c>
      <c r="D334" s="51"/>
      <c r="E334" s="51"/>
      <c r="F334" s="51"/>
      <c r="G334" s="51">
        <v>22</v>
      </c>
      <c r="H334" s="51">
        <v>22</v>
      </c>
      <c r="I334" s="51">
        <v>22</v>
      </c>
      <c r="J334" s="51">
        <v>22</v>
      </c>
      <c r="K334" s="51">
        <v>22</v>
      </c>
      <c r="L334" s="40" t="s">
        <v>556</v>
      </c>
      <c r="M334" s="40">
        <v>2</v>
      </c>
      <c r="N334" s="40" t="s">
        <v>556</v>
      </c>
      <c r="O334" s="40" t="s">
        <v>556</v>
      </c>
      <c r="P334" s="40" t="s">
        <v>556</v>
      </c>
      <c r="Q334" s="33"/>
      <c r="R334" s="33"/>
      <c r="S334" s="33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</row>
    <row r="335" spans="1:48" s="27" customFormat="1" ht="15.75" customHeight="1">
      <c r="A335" s="12"/>
      <c r="B335" s="93" t="s">
        <v>670</v>
      </c>
      <c r="C335" s="29"/>
      <c r="D335" s="51"/>
      <c r="E335" s="51"/>
      <c r="F335" s="51"/>
      <c r="G335" s="51"/>
      <c r="H335" s="51"/>
      <c r="I335" s="51"/>
      <c r="J335" s="51"/>
      <c r="K335" s="51"/>
      <c r="L335" s="60" t="s">
        <v>556</v>
      </c>
      <c r="M335" s="60">
        <v>1</v>
      </c>
      <c r="N335" s="60" t="s">
        <v>556</v>
      </c>
      <c r="O335" s="60" t="s">
        <v>556</v>
      </c>
      <c r="P335" s="60">
        <v>1</v>
      </c>
      <c r="Q335" s="33"/>
      <c r="R335" s="33"/>
      <c r="S335" s="33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</row>
    <row r="336" spans="1:48" s="27" customFormat="1" ht="15.75" customHeight="1">
      <c r="A336" s="12"/>
      <c r="B336" s="97" t="s">
        <v>561</v>
      </c>
      <c r="C336" s="66" t="s">
        <v>804</v>
      </c>
      <c r="D336" s="51"/>
      <c r="E336" s="51"/>
      <c r="F336" s="51"/>
      <c r="G336" s="51">
        <v>3</v>
      </c>
      <c r="H336" s="51">
        <v>3</v>
      </c>
      <c r="I336" s="51">
        <v>3</v>
      </c>
      <c r="J336" s="51">
        <v>3</v>
      </c>
      <c r="K336" s="51">
        <v>3</v>
      </c>
      <c r="L336" s="40" t="s">
        <v>556</v>
      </c>
      <c r="M336" s="40">
        <v>1</v>
      </c>
      <c r="N336" s="40" t="s">
        <v>556</v>
      </c>
      <c r="O336" s="40" t="s">
        <v>556</v>
      </c>
      <c r="P336" s="40" t="s">
        <v>556</v>
      </c>
      <c r="Q336" s="33"/>
      <c r="R336" s="33"/>
      <c r="S336" s="33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</row>
    <row r="337" spans="1:48" s="27" customFormat="1" ht="15.75" customHeight="1">
      <c r="A337" s="12"/>
      <c r="B337" s="97" t="s">
        <v>1054</v>
      </c>
      <c r="C337" s="15" t="s">
        <v>1055</v>
      </c>
      <c r="D337" s="51"/>
      <c r="E337" s="51"/>
      <c r="F337" s="51"/>
      <c r="G337" s="51">
        <v>1</v>
      </c>
      <c r="H337" s="51">
        <v>1</v>
      </c>
      <c r="I337" s="51">
        <v>1</v>
      </c>
      <c r="J337" s="51">
        <v>1</v>
      </c>
      <c r="K337" s="51">
        <v>1</v>
      </c>
      <c r="L337" s="40" t="s">
        <v>556</v>
      </c>
      <c r="M337" s="40" t="s">
        <v>556</v>
      </c>
      <c r="N337" s="40" t="s">
        <v>556</v>
      </c>
      <c r="O337" s="40" t="s">
        <v>556</v>
      </c>
      <c r="P337" s="40">
        <v>1</v>
      </c>
      <c r="Q337" s="33"/>
      <c r="R337" s="33"/>
      <c r="S337" s="33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</row>
    <row r="338" spans="1:19" ht="13.5" customHeight="1">
      <c r="A338" s="400" t="s">
        <v>909</v>
      </c>
      <c r="B338" s="400"/>
      <c r="C338" s="400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21"/>
      <c r="R338" s="21"/>
      <c r="S338" s="8"/>
    </row>
    <row r="339" spans="1:188" s="57" customFormat="1" ht="21.75" customHeight="1">
      <c r="A339" s="13">
        <v>33</v>
      </c>
      <c r="B339" s="92" t="s">
        <v>377</v>
      </c>
      <c r="C339" s="45"/>
      <c r="D339" s="44">
        <v>23</v>
      </c>
      <c r="E339" s="44">
        <v>2</v>
      </c>
      <c r="F339" s="44">
        <v>23</v>
      </c>
      <c r="G339" s="44">
        <v>25</v>
      </c>
      <c r="H339" s="44">
        <v>26</v>
      </c>
      <c r="I339" s="44">
        <v>28</v>
      </c>
      <c r="J339" s="44"/>
      <c r="K339" s="44">
        <v>30</v>
      </c>
      <c r="L339" s="44">
        <f>L340</f>
        <v>3</v>
      </c>
      <c r="M339" s="44">
        <f>M340</f>
        <v>3</v>
      </c>
      <c r="N339" s="44">
        <f>N340</f>
        <v>4</v>
      </c>
      <c r="O339" s="44">
        <f>O340</f>
        <v>4</v>
      </c>
      <c r="P339" s="44">
        <f>P340</f>
        <v>4</v>
      </c>
      <c r="Q339" s="54" t="s">
        <v>649</v>
      </c>
      <c r="R339" s="54">
        <v>3</v>
      </c>
      <c r="S339" s="59" t="s">
        <v>1310</v>
      </c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  <c r="BG339" s="56"/>
      <c r="BH339" s="56"/>
      <c r="BI339" s="56"/>
      <c r="BJ339" s="56"/>
      <c r="BK339" s="56"/>
      <c r="BL339" s="56"/>
      <c r="BM339" s="56"/>
      <c r="BN339" s="56"/>
      <c r="BO339" s="56"/>
      <c r="BP339" s="56"/>
      <c r="BQ339" s="56"/>
      <c r="BR339" s="56"/>
      <c r="BS339" s="56"/>
      <c r="BT339" s="56"/>
      <c r="BU339" s="56"/>
      <c r="BV339" s="56"/>
      <c r="BW339" s="56"/>
      <c r="BX339" s="56"/>
      <c r="BY339" s="56"/>
      <c r="BZ339" s="56"/>
      <c r="CA339" s="56"/>
      <c r="CB339" s="56"/>
      <c r="CC339" s="56"/>
      <c r="CD339" s="56"/>
      <c r="CE339" s="56"/>
      <c r="CF339" s="56"/>
      <c r="CG339" s="56"/>
      <c r="CH339" s="56"/>
      <c r="CI339" s="56"/>
      <c r="CJ339" s="56"/>
      <c r="CK339" s="56"/>
      <c r="CL339" s="56"/>
      <c r="CM339" s="56"/>
      <c r="CN339" s="56"/>
      <c r="CO339" s="56"/>
      <c r="CP339" s="56"/>
      <c r="CQ339" s="56"/>
      <c r="CR339" s="56"/>
      <c r="CS339" s="56"/>
      <c r="CT339" s="56"/>
      <c r="CU339" s="56"/>
      <c r="CV339" s="56"/>
      <c r="CW339" s="56"/>
      <c r="CX339" s="56"/>
      <c r="CY339" s="56"/>
      <c r="CZ339" s="56"/>
      <c r="DA339" s="56"/>
      <c r="DB339" s="56"/>
      <c r="DC339" s="56"/>
      <c r="DD339" s="56"/>
      <c r="DE339" s="56"/>
      <c r="DF339" s="56"/>
      <c r="DG339" s="56"/>
      <c r="DH339" s="56"/>
      <c r="DI339" s="56"/>
      <c r="DJ339" s="56"/>
      <c r="DK339" s="56"/>
      <c r="DL339" s="56"/>
      <c r="DM339" s="56"/>
      <c r="DN339" s="56"/>
      <c r="DO339" s="56"/>
      <c r="DP339" s="56"/>
      <c r="DQ339" s="56"/>
      <c r="DR339" s="56"/>
      <c r="DS339" s="56"/>
      <c r="DT339" s="56"/>
      <c r="DU339" s="56"/>
      <c r="DV339" s="56"/>
      <c r="DW339" s="56"/>
      <c r="DX339" s="56"/>
      <c r="DY339" s="56"/>
      <c r="DZ339" s="56"/>
      <c r="EA339" s="56"/>
      <c r="EB339" s="56"/>
      <c r="EC339" s="56"/>
      <c r="ED339" s="56"/>
      <c r="EE339" s="56"/>
      <c r="EF339" s="56"/>
      <c r="EG339" s="56"/>
      <c r="EH339" s="56"/>
      <c r="EI339" s="56"/>
      <c r="EJ339" s="56"/>
      <c r="EK339" s="56"/>
      <c r="EL339" s="56"/>
      <c r="EM339" s="56"/>
      <c r="EN339" s="56"/>
      <c r="EO339" s="56"/>
      <c r="EP339" s="56"/>
      <c r="EQ339" s="56"/>
      <c r="ER339" s="56"/>
      <c r="ES339" s="56"/>
      <c r="ET339" s="56"/>
      <c r="EU339" s="56"/>
      <c r="EV339" s="56"/>
      <c r="EW339" s="56"/>
      <c r="EX339" s="56"/>
      <c r="EY339" s="56"/>
      <c r="EZ339" s="56"/>
      <c r="FA339" s="56"/>
      <c r="FB339" s="56"/>
      <c r="FC339" s="56"/>
      <c r="FD339" s="56"/>
      <c r="FE339" s="56"/>
      <c r="FF339" s="56"/>
      <c r="FG339" s="56"/>
      <c r="FH339" s="56"/>
      <c r="FI339" s="56"/>
      <c r="FJ339" s="56"/>
      <c r="FK339" s="56"/>
      <c r="FL339" s="56"/>
      <c r="FM339" s="56"/>
      <c r="FN339" s="56"/>
      <c r="FO339" s="56"/>
      <c r="FP339" s="56"/>
      <c r="FQ339" s="56"/>
      <c r="FR339" s="56"/>
      <c r="FS339" s="56"/>
      <c r="FT339" s="56"/>
      <c r="FU339" s="56"/>
      <c r="FV339" s="56"/>
      <c r="FW339" s="56"/>
      <c r="FX339" s="56"/>
      <c r="FY339" s="56"/>
      <c r="FZ339" s="56"/>
      <c r="GA339" s="56"/>
      <c r="GB339" s="56"/>
      <c r="GC339" s="56"/>
      <c r="GD339" s="56"/>
      <c r="GE339" s="56"/>
      <c r="GF339" s="56"/>
    </row>
    <row r="340" spans="1:57" s="43" customFormat="1" ht="15.75">
      <c r="A340" s="13"/>
      <c r="B340" s="93" t="s">
        <v>670</v>
      </c>
      <c r="C340" s="15"/>
      <c r="D340" s="40"/>
      <c r="E340" s="40"/>
      <c r="F340" s="40"/>
      <c r="G340" s="40"/>
      <c r="H340" s="40"/>
      <c r="I340" s="40"/>
      <c r="J340" s="40"/>
      <c r="K340" s="40"/>
      <c r="L340" s="60">
        <f>SUM(L341:L341)</f>
        <v>3</v>
      </c>
      <c r="M340" s="60">
        <f>SUM(M341:M341)</f>
        <v>3</v>
      </c>
      <c r="N340" s="60">
        <f>SUM(N341:N341)</f>
        <v>4</v>
      </c>
      <c r="O340" s="60">
        <f>SUM(O341:O341)</f>
        <v>4</v>
      </c>
      <c r="P340" s="60">
        <f>SUM(P341:P341)</f>
        <v>4</v>
      </c>
      <c r="Q340" s="70"/>
      <c r="R340" s="41"/>
      <c r="S340" s="41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BA340" s="49"/>
      <c r="BB340" s="42"/>
      <c r="BC340" s="42"/>
      <c r="BD340" s="42"/>
      <c r="BE340" s="42"/>
    </row>
    <row r="341" spans="1:57" s="43" customFormat="1" ht="19.5" customHeight="1">
      <c r="A341" s="13"/>
      <c r="B341" s="97" t="s">
        <v>65</v>
      </c>
      <c r="C341" s="15" t="s">
        <v>66</v>
      </c>
      <c r="D341" s="40"/>
      <c r="E341" s="40"/>
      <c r="F341" s="40"/>
      <c r="G341" s="40"/>
      <c r="H341" s="40"/>
      <c r="I341" s="40"/>
      <c r="J341" s="40"/>
      <c r="K341" s="40"/>
      <c r="L341" s="40">
        <v>3</v>
      </c>
      <c r="M341" s="40">
        <v>3</v>
      </c>
      <c r="N341" s="40">
        <v>4</v>
      </c>
      <c r="O341" s="40">
        <v>4</v>
      </c>
      <c r="P341" s="40">
        <v>4</v>
      </c>
      <c r="Q341" s="70"/>
      <c r="R341" s="41"/>
      <c r="S341" s="41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BA341" s="49"/>
      <c r="BB341" s="42"/>
      <c r="BC341" s="42"/>
      <c r="BD341" s="42"/>
      <c r="BE341" s="42"/>
    </row>
    <row r="342" spans="1:188" s="57" customFormat="1" ht="18" customHeight="1">
      <c r="A342" s="13">
        <v>34</v>
      </c>
      <c r="B342" s="92" t="s">
        <v>44</v>
      </c>
      <c r="C342" s="45"/>
      <c r="D342" s="44">
        <v>46</v>
      </c>
      <c r="E342" s="44">
        <v>6</v>
      </c>
      <c r="F342" s="44"/>
      <c r="G342" s="44">
        <v>46</v>
      </c>
      <c r="H342" s="44">
        <v>46</v>
      </c>
      <c r="I342" s="44">
        <v>46</v>
      </c>
      <c r="J342" s="44">
        <v>46</v>
      </c>
      <c r="K342" s="44">
        <v>46</v>
      </c>
      <c r="L342" s="44">
        <f>L343</f>
        <v>3</v>
      </c>
      <c r="M342" s="44">
        <f>M343</f>
        <v>2</v>
      </c>
      <c r="N342" s="44">
        <f>N343</f>
        <v>1</v>
      </c>
      <c r="O342" s="44" t="str">
        <f>O343</f>
        <v> -</v>
      </c>
      <c r="P342" s="44" t="str">
        <f>P343</f>
        <v> -</v>
      </c>
      <c r="Q342" s="54" t="s">
        <v>648</v>
      </c>
      <c r="R342" s="54">
        <v>11</v>
      </c>
      <c r="S342" s="55" t="s">
        <v>903</v>
      </c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  <c r="BT342" s="56"/>
      <c r="BU342" s="56"/>
      <c r="BV342" s="56"/>
      <c r="BW342" s="56"/>
      <c r="BX342" s="56"/>
      <c r="BY342" s="56"/>
      <c r="BZ342" s="56"/>
      <c r="CA342" s="56"/>
      <c r="CB342" s="56"/>
      <c r="CC342" s="56"/>
      <c r="CD342" s="56"/>
      <c r="CE342" s="56"/>
      <c r="CF342" s="56"/>
      <c r="CG342" s="56"/>
      <c r="CH342" s="56"/>
      <c r="CI342" s="56"/>
      <c r="CJ342" s="56"/>
      <c r="CK342" s="56"/>
      <c r="CL342" s="56"/>
      <c r="CM342" s="56"/>
      <c r="CN342" s="56"/>
      <c r="CO342" s="56"/>
      <c r="CP342" s="56"/>
      <c r="CQ342" s="56"/>
      <c r="CR342" s="56"/>
      <c r="CS342" s="56"/>
      <c r="CT342" s="56"/>
      <c r="CU342" s="56"/>
      <c r="CV342" s="56"/>
      <c r="CW342" s="56"/>
      <c r="CX342" s="56"/>
      <c r="CY342" s="56"/>
      <c r="CZ342" s="56"/>
      <c r="DA342" s="56"/>
      <c r="DB342" s="56"/>
      <c r="DC342" s="56"/>
      <c r="DD342" s="56"/>
      <c r="DE342" s="56"/>
      <c r="DF342" s="56"/>
      <c r="DG342" s="56"/>
      <c r="DH342" s="56"/>
      <c r="DI342" s="56"/>
      <c r="DJ342" s="56"/>
      <c r="DK342" s="56"/>
      <c r="DL342" s="56"/>
      <c r="DM342" s="56"/>
      <c r="DN342" s="56"/>
      <c r="DO342" s="56"/>
      <c r="DP342" s="56"/>
      <c r="DQ342" s="56"/>
      <c r="DR342" s="56"/>
      <c r="DS342" s="56"/>
      <c r="DT342" s="56"/>
      <c r="DU342" s="56"/>
      <c r="DV342" s="56"/>
      <c r="DW342" s="56"/>
      <c r="DX342" s="56"/>
      <c r="DY342" s="56"/>
      <c r="DZ342" s="56"/>
      <c r="EA342" s="56"/>
      <c r="EB342" s="56"/>
      <c r="EC342" s="56"/>
      <c r="ED342" s="56"/>
      <c r="EE342" s="56"/>
      <c r="EF342" s="56"/>
      <c r="EG342" s="56"/>
      <c r="EH342" s="56"/>
      <c r="EI342" s="56"/>
      <c r="EJ342" s="56"/>
      <c r="EK342" s="56"/>
      <c r="EL342" s="56"/>
      <c r="EM342" s="56"/>
      <c r="EN342" s="56"/>
      <c r="EO342" s="56"/>
      <c r="EP342" s="56"/>
      <c r="EQ342" s="56"/>
      <c r="ER342" s="56"/>
      <c r="ES342" s="56"/>
      <c r="ET342" s="56"/>
      <c r="EU342" s="56"/>
      <c r="EV342" s="56"/>
      <c r="EW342" s="56"/>
      <c r="EX342" s="56"/>
      <c r="EY342" s="56"/>
      <c r="EZ342" s="56"/>
      <c r="FA342" s="56"/>
      <c r="FB342" s="56"/>
      <c r="FC342" s="56"/>
      <c r="FD342" s="56"/>
      <c r="FE342" s="56"/>
      <c r="FF342" s="56"/>
      <c r="FG342" s="56"/>
      <c r="FH342" s="56"/>
      <c r="FI342" s="56"/>
      <c r="FJ342" s="56"/>
      <c r="FK342" s="56"/>
      <c r="FL342" s="56"/>
      <c r="FM342" s="56"/>
      <c r="FN342" s="56"/>
      <c r="FO342" s="56"/>
      <c r="FP342" s="56"/>
      <c r="FQ342" s="56"/>
      <c r="FR342" s="56"/>
      <c r="FS342" s="56"/>
      <c r="FT342" s="56"/>
      <c r="FU342" s="56"/>
      <c r="FV342" s="56"/>
      <c r="FW342" s="56"/>
      <c r="FX342" s="56"/>
      <c r="FY342" s="56"/>
      <c r="FZ342" s="56"/>
      <c r="GA342" s="56"/>
      <c r="GB342" s="56"/>
      <c r="GC342" s="56"/>
      <c r="GD342" s="56"/>
      <c r="GE342" s="56"/>
      <c r="GF342" s="56"/>
    </row>
    <row r="343" spans="1:48" s="18" customFormat="1" ht="17.25" customHeight="1">
      <c r="A343" s="50"/>
      <c r="B343" s="93" t="s">
        <v>669</v>
      </c>
      <c r="C343" s="16"/>
      <c r="D343" s="52"/>
      <c r="E343" s="52"/>
      <c r="F343" s="52"/>
      <c r="G343" s="52"/>
      <c r="H343" s="52"/>
      <c r="I343" s="52"/>
      <c r="J343" s="52"/>
      <c r="K343" s="52"/>
      <c r="L343" s="60">
        <f>SUM(L344:L346)</f>
        <v>3</v>
      </c>
      <c r="M343" s="60">
        <f>SUM(M344:M346)</f>
        <v>2</v>
      </c>
      <c r="N343" s="60">
        <f>SUM(N344:N346)</f>
        <v>1</v>
      </c>
      <c r="O343" s="60" t="s">
        <v>556</v>
      </c>
      <c r="P343" s="60" t="s">
        <v>556</v>
      </c>
      <c r="Q343" s="23"/>
      <c r="R343" s="23"/>
      <c r="S343" s="1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</row>
    <row r="344" spans="1:48" s="27" customFormat="1" ht="15.75" customHeight="1">
      <c r="A344" s="12"/>
      <c r="B344" s="97" t="s">
        <v>1049</v>
      </c>
      <c r="C344" s="29" t="s">
        <v>1050</v>
      </c>
      <c r="D344" s="51"/>
      <c r="E344" s="51"/>
      <c r="F344" s="51"/>
      <c r="G344" s="51">
        <v>8</v>
      </c>
      <c r="H344" s="51">
        <v>8</v>
      </c>
      <c r="I344" s="51">
        <v>8</v>
      </c>
      <c r="J344" s="51">
        <v>8</v>
      </c>
      <c r="K344" s="51">
        <v>8</v>
      </c>
      <c r="L344" s="40">
        <v>1</v>
      </c>
      <c r="M344" s="40">
        <v>1</v>
      </c>
      <c r="N344" s="40" t="s">
        <v>556</v>
      </c>
      <c r="O344" s="40" t="s">
        <v>556</v>
      </c>
      <c r="P344" s="40" t="s">
        <v>556</v>
      </c>
      <c r="Q344" s="33"/>
      <c r="R344" s="28"/>
      <c r="S344" s="2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</row>
    <row r="345" spans="1:48" s="27" customFormat="1" ht="15.75" customHeight="1">
      <c r="A345" s="12"/>
      <c r="B345" s="97" t="s">
        <v>594</v>
      </c>
      <c r="C345" s="29" t="s">
        <v>783</v>
      </c>
      <c r="D345" s="51"/>
      <c r="E345" s="51"/>
      <c r="F345" s="51"/>
      <c r="G345" s="51">
        <v>13</v>
      </c>
      <c r="H345" s="51">
        <v>13</v>
      </c>
      <c r="I345" s="51">
        <v>13</v>
      </c>
      <c r="J345" s="51">
        <v>13</v>
      </c>
      <c r="K345" s="51">
        <v>13</v>
      </c>
      <c r="L345" s="40">
        <v>2</v>
      </c>
      <c r="M345" s="40" t="s">
        <v>556</v>
      </c>
      <c r="N345" s="40">
        <v>1</v>
      </c>
      <c r="O345" s="40" t="s">
        <v>556</v>
      </c>
      <c r="P345" s="40" t="s">
        <v>556</v>
      </c>
      <c r="Q345" s="33"/>
      <c r="R345" s="33"/>
      <c r="S345" s="33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</row>
    <row r="346" spans="1:48" s="27" customFormat="1" ht="15.75" customHeight="1">
      <c r="A346" s="12"/>
      <c r="B346" s="97" t="s">
        <v>1047</v>
      </c>
      <c r="C346" s="29" t="s">
        <v>1048</v>
      </c>
      <c r="D346" s="51"/>
      <c r="E346" s="51"/>
      <c r="F346" s="51"/>
      <c r="G346" s="51">
        <v>4</v>
      </c>
      <c r="H346" s="51">
        <v>4</v>
      </c>
      <c r="I346" s="51">
        <v>4</v>
      </c>
      <c r="J346" s="51">
        <v>4</v>
      </c>
      <c r="K346" s="51">
        <v>4</v>
      </c>
      <c r="L346" s="40" t="s">
        <v>556</v>
      </c>
      <c r="M346" s="40">
        <v>1</v>
      </c>
      <c r="N346" s="40" t="s">
        <v>556</v>
      </c>
      <c r="O346" s="40" t="s">
        <v>556</v>
      </c>
      <c r="P346" s="40" t="s">
        <v>556</v>
      </c>
      <c r="Q346" s="33"/>
      <c r="R346" s="33"/>
      <c r="S346" s="33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</row>
    <row r="347" spans="1:188" s="57" customFormat="1" ht="18" customHeight="1">
      <c r="A347" s="13">
        <v>35</v>
      </c>
      <c r="B347" s="92" t="s">
        <v>177</v>
      </c>
      <c r="C347" s="45"/>
      <c r="D347" s="44"/>
      <c r="E347" s="44"/>
      <c r="F347" s="44"/>
      <c r="G347" s="44"/>
      <c r="H347" s="44"/>
      <c r="I347" s="44"/>
      <c r="J347" s="44"/>
      <c r="K347" s="44"/>
      <c r="L347" s="44">
        <f aca="true" t="shared" si="7" ref="L347:P348">L348</f>
        <v>4</v>
      </c>
      <c r="M347" s="44">
        <f t="shared" si="7"/>
        <v>4</v>
      </c>
      <c r="N347" s="44">
        <f t="shared" si="7"/>
        <v>4</v>
      </c>
      <c r="O347" s="44">
        <f t="shared" si="7"/>
        <v>4</v>
      </c>
      <c r="P347" s="44">
        <f t="shared" si="7"/>
        <v>4</v>
      </c>
      <c r="Q347" s="54" t="s">
        <v>648</v>
      </c>
      <c r="R347" s="54">
        <v>11</v>
      </c>
      <c r="S347" s="55" t="s">
        <v>903</v>
      </c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56"/>
      <c r="BW347" s="56"/>
      <c r="BX347" s="56"/>
      <c r="BY347" s="56"/>
      <c r="BZ347" s="56"/>
      <c r="CA347" s="56"/>
      <c r="CB347" s="56"/>
      <c r="CC347" s="56"/>
      <c r="CD347" s="56"/>
      <c r="CE347" s="56"/>
      <c r="CF347" s="56"/>
      <c r="CG347" s="56"/>
      <c r="CH347" s="56"/>
      <c r="CI347" s="56"/>
      <c r="CJ347" s="56"/>
      <c r="CK347" s="56"/>
      <c r="CL347" s="56"/>
      <c r="CM347" s="56"/>
      <c r="CN347" s="56"/>
      <c r="CO347" s="56"/>
      <c r="CP347" s="56"/>
      <c r="CQ347" s="56"/>
      <c r="CR347" s="56"/>
      <c r="CS347" s="56"/>
      <c r="CT347" s="56"/>
      <c r="CU347" s="56"/>
      <c r="CV347" s="56"/>
      <c r="CW347" s="56"/>
      <c r="CX347" s="56"/>
      <c r="CY347" s="56"/>
      <c r="CZ347" s="56"/>
      <c r="DA347" s="56"/>
      <c r="DB347" s="56"/>
      <c r="DC347" s="56"/>
      <c r="DD347" s="56"/>
      <c r="DE347" s="56"/>
      <c r="DF347" s="56"/>
      <c r="DG347" s="56"/>
      <c r="DH347" s="56"/>
      <c r="DI347" s="56"/>
      <c r="DJ347" s="56"/>
      <c r="DK347" s="56"/>
      <c r="DL347" s="56"/>
      <c r="DM347" s="56"/>
      <c r="DN347" s="56"/>
      <c r="DO347" s="56"/>
      <c r="DP347" s="56"/>
      <c r="DQ347" s="56"/>
      <c r="DR347" s="56"/>
      <c r="DS347" s="56"/>
      <c r="DT347" s="56"/>
      <c r="DU347" s="56"/>
      <c r="DV347" s="56"/>
      <c r="DW347" s="56"/>
      <c r="DX347" s="56"/>
      <c r="DY347" s="56"/>
      <c r="DZ347" s="56"/>
      <c r="EA347" s="56"/>
      <c r="EB347" s="56"/>
      <c r="EC347" s="56"/>
      <c r="ED347" s="56"/>
      <c r="EE347" s="56"/>
      <c r="EF347" s="56"/>
      <c r="EG347" s="56"/>
      <c r="EH347" s="56"/>
      <c r="EI347" s="56"/>
      <c r="EJ347" s="56"/>
      <c r="EK347" s="56"/>
      <c r="EL347" s="56"/>
      <c r="EM347" s="56"/>
      <c r="EN347" s="56"/>
      <c r="EO347" s="56"/>
      <c r="EP347" s="56"/>
      <c r="EQ347" s="56"/>
      <c r="ER347" s="56"/>
      <c r="ES347" s="56"/>
      <c r="ET347" s="56"/>
      <c r="EU347" s="56"/>
      <c r="EV347" s="56"/>
      <c r="EW347" s="56"/>
      <c r="EX347" s="56"/>
      <c r="EY347" s="56"/>
      <c r="EZ347" s="56"/>
      <c r="FA347" s="56"/>
      <c r="FB347" s="56"/>
      <c r="FC347" s="56"/>
      <c r="FD347" s="56"/>
      <c r="FE347" s="56"/>
      <c r="FF347" s="56"/>
      <c r="FG347" s="56"/>
      <c r="FH347" s="56"/>
      <c r="FI347" s="56"/>
      <c r="FJ347" s="56"/>
      <c r="FK347" s="56"/>
      <c r="FL347" s="56"/>
      <c r="FM347" s="56"/>
      <c r="FN347" s="56"/>
      <c r="FO347" s="56"/>
      <c r="FP347" s="56"/>
      <c r="FQ347" s="56"/>
      <c r="FR347" s="56"/>
      <c r="FS347" s="56"/>
      <c r="FT347" s="56"/>
      <c r="FU347" s="56"/>
      <c r="FV347" s="56"/>
      <c r="FW347" s="56"/>
      <c r="FX347" s="56"/>
      <c r="FY347" s="56"/>
      <c r="FZ347" s="56"/>
      <c r="GA347" s="56"/>
      <c r="GB347" s="56"/>
      <c r="GC347" s="56"/>
      <c r="GD347" s="56"/>
      <c r="GE347" s="56"/>
      <c r="GF347" s="56"/>
    </row>
    <row r="348" spans="1:48" s="18" customFormat="1" ht="18.75" customHeight="1">
      <c r="A348" s="50"/>
      <c r="B348" s="93" t="s">
        <v>669</v>
      </c>
      <c r="C348" s="16"/>
      <c r="D348" s="52"/>
      <c r="E348" s="52"/>
      <c r="F348" s="52"/>
      <c r="G348" s="52"/>
      <c r="H348" s="52"/>
      <c r="I348" s="52"/>
      <c r="J348" s="52"/>
      <c r="K348" s="52"/>
      <c r="L348" s="60">
        <f t="shared" si="7"/>
        <v>4</v>
      </c>
      <c r="M348" s="60">
        <f t="shared" si="7"/>
        <v>4</v>
      </c>
      <c r="N348" s="60">
        <f t="shared" si="7"/>
        <v>4</v>
      </c>
      <c r="O348" s="60">
        <f t="shared" si="7"/>
        <v>4</v>
      </c>
      <c r="P348" s="60">
        <f t="shared" si="7"/>
        <v>4</v>
      </c>
      <c r="Q348" s="23"/>
      <c r="R348" s="23"/>
      <c r="S348" s="1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</row>
    <row r="349" spans="1:48" s="27" customFormat="1" ht="15.75" customHeight="1">
      <c r="A349" s="12"/>
      <c r="B349" s="97" t="s">
        <v>594</v>
      </c>
      <c r="C349" s="29" t="s">
        <v>783</v>
      </c>
      <c r="D349" s="51"/>
      <c r="E349" s="51"/>
      <c r="F349" s="51"/>
      <c r="G349" s="51"/>
      <c r="H349" s="51"/>
      <c r="I349" s="51"/>
      <c r="J349" s="51"/>
      <c r="K349" s="51"/>
      <c r="L349" s="40">
        <v>4</v>
      </c>
      <c r="M349" s="40">
        <v>4</v>
      </c>
      <c r="N349" s="40">
        <v>4</v>
      </c>
      <c r="O349" s="40">
        <v>4</v>
      </c>
      <c r="P349" s="40">
        <v>4</v>
      </c>
      <c r="Q349" s="33"/>
      <c r="R349" s="28"/>
      <c r="S349" s="2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</row>
    <row r="350" spans="1:188" s="57" customFormat="1" ht="18" customHeight="1">
      <c r="A350" s="13">
        <v>36</v>
      </c>
      <c r="B350" s="92" t="s">
        <v>269</v>
      </c>
      <c r="C350" s="45"/>
      <c r="D350" s="44"/>
      <c r="E350" s="44"/>
      <c r="F350" s="44"/>
      <c r="G350" s="44"/>
      <c r="H350" s="44"/>
      <c r="I350" s="44"/>
      <c r="J350" s="44"/>
      <c r="K350" s="44"/>
      <c r="L350" s="44">
        <f aca="true" t="shared" si="8" ref="L350:P351">L351</f>
        <v>4</v>
      </c>
      <c r="M350" s="44">
        <f t="shared" si="8"/>
        <v>4</v>
      </c>
      <c r="N350" s="44">
        <f t="shared" si="8"/>
        <v>4</v>
      </c>
      <c r="O350" s="44">
        <f t="shared" si="8"/>
        <v>4</v>
      </c>
      <c r="P350" s="44">
        <f t="shared" si="8"/>
        <v>4</v>
      </c>
      <c r="Q350" s="54" t="s">
        <v>648</v>
      </c>
      <c r="R350" s="54">
        <v>11</v>
      </c>
      <c r="S350" s="55" t="s">
        <v>903</v>
      </c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6"/>
      <c r="BV350" s="56"/>
      <c r="BW350" s="56"/>
      <c r="BX350" s="56"/>
      <c r="BY350" s="56"/>
      <c r="BZ350" s="56"/>
      <c r="CA350" s="56"/>
      <c r="CB350" s="56"/>
      <c r="CC350" s="56"/>
      <c r="CD350" s="56"/>
      <c r="CE350" s="56"/>
      <c r="CF350" s="56"/>
      <c r="CG350" s="56"/>
      <c r="CH350" s="56"/>
      <c r="CI350" s="56"/>
      <c r="CJ350" s="56"/>
      <c r="CK350" s="56"/>
      <c r="CL350" s="56"/>
      <c r="CM350" s="56"/>
      <c r="CN350" s="56"/>
      <c r="CO350" s="56"/>
      <c r="CP350" s="56"/>
      <c r="CQ350" s="56"/>
      <c r="CR350" s="56"/>
      <c r="CS350" s="56"/>
      <c r="CT350" s="56"/>
      <c r="CU350" s="56"/>
      <c r="CV350" s="56"/>
      <c r="CW350" s="56"/>
      <c r="CX350" s="56"/>
      <c r="CY350" s="56"/>
      <c r="CZ350" s="56"/>
      <c r="DA350" s="56"/>
      <c r="DB350" s="56"/>
      <c r="DC350" s="56"/>
      <c r="DD350" s="56"/>
      <c r="DE350" s="56"/>
      <c r="DF350" s="56"/>
      <c r="DG350" s="56"/>
      <c r="DH350" s="56"/>
      <c r="DI350" s="56"/>
      <c r="DJ350" s="56"/>
      <c r="DK350" s="56"/>
      <c r="DL350" s="56"/>
      <c r="DM350" s="56"/>
      <c r="DN350" s="56"/>
      <c r="DO350" s="56"/>
      <c r="DP350" s="56"/>
      <c r="DQ350" s="56"/>
      <c r="DR350" s="56"/>
      <c r="DS350" s="56"/>
      <c r="DT350" s="56"/>
      <c r="DU350" s="56"/>
      <c r="DV350" s="56"/>
      <c r="DW350" s="56"/>
      <c r="DX350" s="56"/>
      <c r="DY350" s="56"/>
      <c r="DZ350" s="56"/>
      <c r="EA350" s="56"/>
      <c r="EB350" s="56"/>
      <c r="EC350" s="56"/>
      <c r="ED350" s="56"/>
      <c r="EE350" s="56"/>
      <c r="EF350" s="56"/>
      <c r="EG350" s="56"/>
      <c r="EH350" s="56"/>
      <c r="EI350" s="56"/>
      <c r="EJ350" s="56"/>
      <c r="EK350" s="56"/>
      <c r="EL350" s="56"/>
      <c r="EM350" s="56"/>
      <c r="EN350" s="56"/>
      <c r="EO350" s="56"/>
      <c r="EP350" s="56"/>
      <c r="EQ350" s="56"/>
      <c r="ER350" s="56"/>
      <c r="ES350" s="56"/>
      <c r="ET350" s="56"/>
      <c r="EU350" s="56"/>
      <c r="EV350" s="56"/>
      <c r="EW350" s="56"/>
      <c r="EX350" s="56"/>
      <c r="EY350" s="56"/>
      <c r="EZ350" s="56"/>
      <c r="FA350" s="56"/>
      <c r="FB350" s="56"/>
      <c r="FC350" s="56"/>
      <c r="FD350" s="56"/>
      <c r="FE350" s="56"/>
      <c r="FF350" s="56"/>
      <c r="FG350" s="56"/>
      <c r="FH350" s="56"/>
      <c r="FI350" s="56"/>
      <c r="FJ350" s="56"/>
      <c r="FK350" s="56"/>
      <c r="FL350" s="56"/>
      <c r="FM350" s="56"/>
      <c r="FN350" s="56"/>
      <c r="FO350" s="56"/>
      <c r="FP350" s="56"/>
      <c r="FQ350" s="56"/>
      <c r="FR350" s="56"/>
      <c r="FS350" s="56"/>
      <c r="FT350" s="56"/>
      <c r="FU350" s="56"/>
      <c r="FV350" s="56"/>
      <c r="FW350" s="56"/>
      <c r="FX350" s="56"/>
      <c r="FY350" s="56"/>
      <c r="FZ350" s="56"/>
      <c r="GA350" s="56"/>
      <c r="GB350" s="56"/>
      <c r="GC350" s="56"/>
      <c r="GD350" s="56"/>
      <c r="GE350" s="56"/>
      <c r="GF350" s="56"/>
    </row>
    <row r="351" spans="1:48" s="18" customFormat="1" ht="18.75" customHeight="1">
      <c r="A351" s="50"/>
      <c r="B351" s="93" t="s">
        <v>669</v>
      </c>
      <c r="C351" s="16"/>
      <c r="D351" s="52"/>
      <c r="E351" s="52"/>
      <c r="F351" s="52"/>
      <c r="G351" s="52"/>
      <c r="H351" s="52"/>
      <c r="I351" s="52"/>
      <c r="J351" s="52"/>
      <c r="K351" s="52"/>
      <c r="L351" s="60">
        <f t="shared" si="8"/>
        <v>4</v>
      </c>
      <c r="M351" s="60">
        <f t="shared" si="8"/>
        <v>4</v>
      </c>
      <c r="N351" s="60">
        <f t="shared" si="8"/>
        <v>4</v>
      </c>
      <c r="O351" s="60">
        <f t="shared" si="8"/>
        <v>4</v>
      </c>
      <c r="P351" s="60">
        <f t="shared" si="8"/>
        <v>4</v>
      </c>
      <c r="Q351" s="23"/>
      <c r="R351" s="23"/>
      <c r="S351" s="1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</row>
    <row r="352" spans="1:48" s="27" customFormat="1" ht="15.75" customHeight="1">
      <c r="A352" s="12"/>
      <c r="B352" s="97" t="s">
        <v>594</v>
      </c>
      <c r="C352" s="29" t="s">
        <v>783</v>
      </c>
      <c r="D352" s="51"/>
      <c r="E352" s="51"/>
      <c r="F352" s="51"/>
      <c r="G352" s="51"/>
      <c r="H352" s="51"/>
      <c r="I352" s="51"/>
      <c r="J352" s="51"/>
      <c r="K352" s="51"/>
      <c r="L352" s="40">
        <v>4</v>
      </c>
      <c r="M352" s="40">
        <v>4</v>
      </c>
      <c r="N352" s="40">
        <v>4</v>
      </c>
      <c r="O352" s="40">
        <v>4</v>
      </c>
      <c r="P352" s="40">
        <v>4</v>
      </c>
      <c r="Q352" s="33"/>
      <c r="R352" s="28"/>
      <c r="S352" s="2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</row>
    <row r="353" spans="1:188" s="57" customFormat="1" ht="18" customHeight="1">
      <c r="A353" s="13">
        <v>37</v>
      </c>
      <c r="B353" s="92" t="s">
        <v>178</v>
      </c>
      <c r="C353" s="45"/>
      <c r="D353" s="44">
        <v>90</v>
      </c>
      <c r="E353" s="44">
        <v>4</v>
      </c>
      <c r="F353" s="44">
        <v>93</v>
      </c>
      <c r="G353" s="44">
        <v>90</v>
      </c>
      <c r="H353" s="44">
        <v>90</v>
      </c>
      <c r="I353" s="44">
        <v>90</v>
      </c>
      <c r="J353" s="44">
        <v>90</v>
      </c>
      <c r="K353" s="44">
        <v>90</v>
      </c>
      <c r="L353" s="44">
        <v>3</v>
      </c>
      <c r="M353" s="44" t="s">
        <v>556</v>
      </c>
      <c r="N353" s="44">
        <v>1</v>
      </c>
      <c r="O353" s="44" t="s">
        <v>556</v>
      </c>
      <c r="P353" s="44" t="s">
        <v>556</v>
      </c>
      <c r="Q353" s="123" t="e">
        <f>SUM(Q354,#REF!)</f>
        <v>#REF!</v>
      </c>
      <c r="R353" s="44" t="e">
        <f>SUM(R354,#REF!)</f>
        <v>#REF!</v>
      </c>
      <c r="S353" s="44" t="e">
        <f>SUM(S354,#REF!)</f>
        <v>#REF!</v>
      </c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56"/>
      <c r="BU353" s="56"/>
      <c r="BV353" s="56"/>
      <c r="BW353" s="56"/>
      <c r="BX353" s="56"/>
      <c r="BY353" s="56"/>
      <c r="BZ353" s="56"/>
      <c r="CA353" s="56"/>
      <c r="CB353" s="56"/>
      <c r="CC353" s="56"/>
      <c r="CD353" s="56"/>
      <c r="CE353" s="56"/>
      <c r="CF353" s="56"/>
      <c r="CG353" s="56"/>
      <c r="CH353" s="56"/>
      <c r="CI353" s="56"/>
      <c r="CJ353" s="56"/>
      <c r="CK353" s="56"/>
      <c r="CL353" s="56"/>
      <c r="CM353" s="56"/>
      <c r="CN353" s="56"/>
      <c r="CO353" s="56"/>
      <c r="CP353" s="56"/>
      <c r="CQ353" s="56"/>
      <c r="CR353" s="56"/>
      <c r="CS353" s="56"/>
      <c r="CT353" s="56"/>
      <c r="CU353" s="56"/>
      <c r="CV353" s="56"/>
      <c r="CW353" s="56"/>
      <c r="CX353" s="56"/>
      <c r="CY353" s="56"/>
      <c r="CZ353" s="56"/>
      <c r="DA353" s="56"/>
      <c r="DB353" s="56"/>
      <c r="DC353" s="56"/>
      <c r="DD353" s="56"/>
      <c r="DE353" s="56"/>
      <c r="DF353" s="56"/>
      <c r="DG353" s="56"/>
      <c r="DH353" s="56"/>
      <c r="DI353" s="56"/>
      <c r="DJ353" s="56"/>
      <c r="DK353" s="56"/>
      <c r="DL353" s="56"/>
      <c r="DM353" s="56"/>
      <c r="DN353" s="56"/>
      <c r="DO353" s="56"/>
      <c r="DP353" s="56"/>
      <c r="DQ353" s="56"/>
      <c r="DR353" s="56"/>
      <c r="DS353" s="56"/>
      <c r="DT353" s="56"/>
      <c r="DU353" s="56"/>
      <c r="DV353" s="56"/>
      <c r="DW353" s="56"/>
      <c r="DX353" s="56"/>
      <c r="DY353" s="56"/>
      <c r="DZ353" s="56"/>
      <c r="EA353" s="56"/>
      <c r="EB353" s="56"/>
      <c r="EC353" s="56"/>
      <c r="ED353" s="56"/>
      <c r="EE353" s="56"/>
      <c r="EF353" s="56"/>
      <c r="EG353" s="56"/>
      <c r="EH353" s="56"/>
      <c r="EI353" s="56"/>
      <c r="EJ353" s="56"/>
      <c r="EK353" s="56"/>
      <c r="EL353" s="56"/>
      <c r="EM353" s="56"/>
      <c r="EN353" s="56"/>
      <c r="EO353" s="56"/>
      <c r="EP353" s="56"/>
      <c r="EQ353" s="56"/>
      <c r="ER353" s="56"/>
      <c r="ES353" s="56"/>
      <c r="ET353" s="56"/>
      <c r="EU353" s="56"/>
      <c r="EV353" s="56"/>
      <c r="EW353" s="56"/>
      <c r="EX353" s="56"/>
      <c r="EY353" s="56"/>
      <c r="EZ353" s="56"/>
      <c r="FA353" s="56"/>
      <c r="FB353" s="56"/>
      <c r="FC353" s="56"/>
      <c r="FD353" s="56"/>
      <c r="FE353" s="56"/>
      <c r="FF353" s="56"/>
      <c r="FG353" s="56"/>
      <c r="FH353" s="56"/>
      <c r="FI353" s="56"/>
      <c r="FJ353" s="56"/>
      <c r="FK353" s="56"/>
      <c r="FL353" s="56"/>
      <c r="FM353" s="56"/>
      <c r="FN353" s="56"/>
      <c r="FO353" s="56"/>
      <c r="FP353" s="56"/>
      <c r="FQ353" s="56"/>
      <c r="FR353" s="56"/>
      <c r="FS353" s="56"/>
      <c r="FT353" s="56"/>
      <c r="FU353" s="56"/>
      <c r="FV353" s="56"/>
      <c r="FW353" s="56"/>
      <c r="FX353" s="56"/>
      <c r="FY353" s="56"/>
      <c r="FZ353" s="56"/>
      <c r="GA353" s="56"/>
      <c r="GB353" s="56"/>
      <c r="GC353" s="56"/>
      <c r="GD353" s="56"/>
      <c r="GE353" s="56"/>
      <c r="GF353" s="56"/>
    </row>
    <row r="354" spans="1:48" s="18" customFormat="1" ht="17.25" customHeight="1">
      <c r="A354" s="50"/>
      <c r="B354" s="93" t="s">
        <v>669</v>
      </c>
      <c r="C354" s="16"/>
      <c r="D354" s="52"/>
      <c r="E354" s="52"/>
      <c r="F354" s="52"/>
      <c r="G354" s="52"/>
      <c r="H354" s="52"/>
      <c r="I354" s="52"/>
      <c r="J354" s="52"/>
      <c r="K354" s="52"/>
      <c r="L354" s="60">
        <v>3</v>
      </c>
      <c r="M354" s="60" t="s">
        <v>556</v>
      </c>
      <c r="N354" s="60">
        <v>1</v>
      </c>
      <c r="O354" s="60" t="s">
        <v>556</v>
      </c>
      <c r="P354" s="60" t="s">
        <v>556</v>
      </c>
      <c r="Q354" s="23"/>
      <c r="R354" s="23"/>
      <c r="S354" s="1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</row>
    <row r="355" spans="1:48" s="27" customFormat="1" ht="15.75" customHeight="1">
      <c r="A355" s="12"/>
      <c r="B355" s="97" t="s">
        <v>1049</v>
      </c>
      <c r="C355" s="29" t="s">
        <v>1050</v>
      </c>
      <c r="D355" s="51"/>
      <c r="E355" s="51"/>
      <c r="F355" s="51">
        <v>12</v>
      </c>
      <c r="G355" s="51">
        <v>12</v>
      </c>
      <c r="H355" s="51">
        <v>12</v>
      </c>
      <c r="I355" s="51">
        <v>12</v>
      </c>
      <c r="J355" s="51">
        <v>12</v>
      </c>
      <c r="K355" s="51">
        <v>12</v>
      </c>
      <c r="L355" s="40">
        <v>1</v>
      </c>
      <c r="M355" s="40" t="s">
        <v>556</v>
      </c>
      <c r="N355" s="40" t="s">
        <v>556</v>
      </c>
      <c r="O355" s="40" t="s">
        <v>556</v>
      </c>
      <c r="P355" s="40" t="s">
        <v>556</v>
      </c>
      <c r="Q355" s="33"/>
      <c r="R355" s="28"/>
      <c r="S355" s="2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</row>
    <row r="356" spans="1:48" s="27" customFormat="1" ht="15.75" customHeight="1">
      <c r="A356" s="12"/>
      <c r="B356" s="97" t="s">
        <v>1047</v>
      </c>
      <c r="C356" s="29" t="s">
        <v>1048</v>
      </c>
      <c r="D356" s="51"/>
      <c r="E356" s="51"/>
      <c r="F356" s="51">
        <v>9</v>
      </c>
      <c r="G356" s="51">
        <v>12</v>
      </c>
      <c r="H356" s="51">
        <v>12</v>
      </c>
      <c r="I356" s="51">
        <v>12</v>
      </c>
      <c r="J356" s="51">
        <v>12</v>
      </c>
      <c r="K356" s="51">
        <v>12</v>
      </c>
      <c r="L356" s="40" t="s">
        <v>556</v>
      </c>
      <c r="M356" s="40" t="s">
        <v>556</v>
      </c>
      <c r="N356" s="40">
        <v>1</v>
      </c>
      <c r="O356" s="40" t="s">
        <v>556</v>
      </c>
      <c r="P356" s="40" t="s">
        <v>556</v>
      </c>
      <c r="Q356" s="33"/>
      <c r="R356" s="28"/>
      <c r="S356" s="2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</row>
    <row r="357" spans="1:48" s="27" customFormat="1" ht="15.75" customHeight="1">
      <c r="A357" s="12"/>
      <c r="B357" s="97" t="s">
        <v>594</v>
      </c>
      <c r="C357" s="29" t="s">
        <v>783</v>
      </c>
      <c r="D357" s="51"/>
      <c r="E357" s="51"/>
      <c r="F357" s="51">
        <v>12</v>
      </c>
      <c r="G357" s="51">
        <v>18</v>
      </c>
      <c r="H357" s="51">
        <v>18</v>
      </c>
      <c r="I357" s="51">
        <v>18</v>
      </c>
      <c r="J357" s="51">
        <v>18</v>
      </c>
      <c r="K357" s="51">
        <v>18</v>
      </c>
      <c r="L357" s="40">
        <v>2</v>
      </c>
      <c r="M357" s="40" t="s">
        <v>556</v>
      </c>
      <c r="N357" s="40" t="s">
        <v>556</v>
      </c>
      <c r="O357" s="40" t="s">
        <v>556</v>
      </c>
      <c r="P357" s="40" t="s">
        <v>556</v>
      </c>
      <c r="Q357" s="33"/>
      <c r="R357" s="28"/>
      <c r="S357" s="2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</row>
    <row r="358" spans="1:19" ht="14.25" customHeight="1">
      <c r="A358" s="399" t="s">
        <v>655</v>
      </c>
      <c r="B358" s="399"/>
      <c r="C358" s="399"/>
      <c r="D358" s="399"/>
      <c r="E358" s="399"/>
      <c r="F358" s="399"/>
      <c r="G358" s="399"/>
      <c r="H358" s="399"/>
      <c r="I358" s="399"/>
      <c r="J358" s="399"/>
      <c r="K358" s="399"/>
      <c r="L358" s="399"/>
      <c r="M358" s="399"/>
      <c r="N358" s="399"/>
      <c r="O358" s="399"/>
      <c r="P358" s="399"/>
      <c r="Q358" s="20"/>
      <c r="R358" s="20"/>
      <c r="S358" s="7"/>
    </row>
    <row r="359" spans="1:19" ht="13.5" customHeight="1">
      <c r="A359" s="400" t="s">
        <v>676</v>
      </c>
      <c r="B359" s="400"/>
      <c r="C359" s="400"/>
      <c r="D359" s="400"/>
      <c r="E359" s="400"/>
      <c r="F359" s="40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21"/>
      <c r="R359" s="21"/>
      <c r="S359" s="8"/>
    </row>
    <row r="360" spans="1:188" s="57" customFormat="1" ht="18" customHeight="1">
      <c r="A360" s="13">
        <v>38</v>
      </c>
      <c r="B360" s="92" t="s">
        <v>266</v>
      </c>
      <c r="C360" s="45"/>
      <c r="D360" s="44">
        <v>320</v>
      </c>
      <c r="E360" s="44">
        <v>32</v>
      </c>
      <c r="F360" s="44">
        <v>310</v>
      </c>
      <c r="G360" s="44">
        <v>320</v>
      </c>
      <c r="H360" s="44">
        <v>320</v>
      </c>
      <c r="I360" s="44">
        <v>320</v>
      </c>
      <c r="J360" s="44">
        <v>320</v>
      </c>
      <c r="K360" s="44">
        <v>320</v>
      </c>
      <c r="L360" s="44">
        <f>SUM(L361,L366,L368)</f>
        <v>7</v>
      </c>
      <c r="M360" s="44">
        <f>SUM(M361,M366,M368)</f>
        <v>10</v>
      </c>
      <c r="N360" s="44">
        <f>SUM(N361,N366,N368)</f>
        <v>7</v>
      </c>
      <c r="O360" s="44">
        <f>SUM(O361,O366,O368)</f>
        <v>5</v>
      </c>
      <c r="P360" s="44">
        <f>SUM(P361,P366,P368)</f>
        <v>3</v>
      </c>
      <c r="Q360" s="54" t="s">
        <v>648</v>
      </c>
      <c r="R360" s="54">
        <v>12</v>
      </c>
      <c r="S360" s="55" t="s">
        <v>731</v>
      </c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</row>
    <row r="361" spans="1:48" s="18" customFormat="1" ht="17.25" customHeight="1">
      <c r="A361" s="50"/>
      <c r="B361" s="93" t="s">
        <v>669</v>
      </c>
      <c r="C361" s="16"/>
      <c r="D361" s="52"/>
      <c r="E361" s="52"/>
      <c r="F361" s="52"/>
      <c r="G361" s="52"/>
      <c r="H361" s="52"/>
      <c r="I361" s="52"/>
      <c r="J361" s="52"/>
      <c r="K361" s="52"/>
      <c r="L361" s="60">
        <f>SUM(L362:L365)</f>
        <v>5</v>
      </c>
      <c r="M361" s="60">
        <f>SUM(M362:M365)</f>
        <v>7</v>
      </c>
      <c r="N361" s="60">
        <f>SUM(N362:N365)</f>
        <v>5</v>
      </c>
      <c r="O361" s="60">
        <f>SUM(O362:O365)</f>
        <v>4</v>
      </c>
      <c r="P361" s="60">
        <f>SUM(P362:P365)</f>
        <v>3</v>
      </c>
      <c r="Q361" s="23"/>
      <c r="R361" s="23"/>
      <c r="S361" s="1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</row>
    <row r="362" spans="1:48" s="27" customFormat="1" ht="15.75" customHeight="1">
      <c r="A362" s="12"/>
      <c r="B362" s="97" t="s">
        <v>1049</v>
      </c>
      <c r="C362" s="29" t="s">
        <v>1050</v>
      </c>
      <c r="D362" s="51"/>
      <c r="E362" s="51"/>
      <c r="F362" s="51"/>
      <c r="G362" s="51">
        <v>66</v>
      </c>
      <c r="H362" s="51">
        <v>66</v>
      </c>
      <c r="I362" s="51">
        <v>66</v>
      </c>
      <c r="J362" s="51">
        <v>66</v>
      </c>
      <c r="K362" s="51">
        <v>66</v>
      </c>
      <c r="L362" s="40">
        <v>5</v>
      </c>
      <c r="M362" s="40">
        <v>4</v>
      </c>
      <c r="N362" s="40">
        <v>2</v>
      </c>
      <c r="O362" s="40" t="s">
        <v>556</v>
      </c>
      <c r="P362" s="40" t="s">
        <v>556</v>
      </c>
      <c r="Q362" s="33"/>
      <c r="R362" s="28"/>
      <c r="S362" s="2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</row>
    <row r="363" spans="1:48" s="27" customFormat="1" ht="15.75" customHeight="1">
      <c r="A363" s="12"/>
      <c r="B363" s="97" t="s">
        <v>1047</v>
      </c>
      <c r="C363" s="29" t="s">
        <v>1048</v>
      </c>
      <c r="D363" s="51"/>
      <c r="E363" s="51"/>
      <c r="F363" s="51"/>
      <c r="G363" s="51">
        <v>16</v>
      </c>
      <c r="H363" s="51">
        <v>16</v>
      </c>
      <c r="I363" s="51">
        <v>16</v>
      </c>
      <c r="J363" s="51">
        <v>16</v>
      </c>
      <c r="K363" s="51">
        <v>16</v>
      </c>
      <c r="L363" s="40" t="s">
        <v>556</v>
      </c>
      <c r="M363" s="40">
        <v>2</v>
      </c>
      <c r="N363" s="40" t="s">
        <v>556</v>
      </c>
      <c r="O363" s="40">
        <v>1</v>
      </c>
      <c r="P363" s="40" t="s">
        <v>556</v>
      </c>
      <c r="Q363" s="33"/>
      <c r="R363" s="28"/>
      <c r="S363" s="2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</row>
    <row r="364" spans="1:48" s="27" customFormat="1" ht="15.75" customHeight="1">
      <c r="A364" s="12"/>
      <c r="B364" s="97" t="s">
        <v>594</v>
      </c>
      <c r="C364" s="29" t="s">
        <v>783</v>
      </c>
      <c r="D364" s="51"/>
      <c r="E364" s="51"/>
      <c r="F364" s="51"/>
      <c r="G364" s="51">
        <v>65</v>
      </c>
      <c r="H364" s="51">
        <v>65</v>
      </c>
      <c r="I364" s="51">
        <v>65</v>
      </c>
      <c r="J364" s="51">
        <v>65</v>
      </c>
      <c r="K364" s="51">
        <v>65</v>
      </c>
      <c r="L364" s="40" t="s">
        <v>556</v>
      </c>
      <c r="M364" s="40" t="s">
        <v>556</v>
      </c>
      <c r="N364" s="40">
        <v>2</v>
      </c>
      <c r="O364" s="40">
        <v>2</v>
      </c>
      <c r="P364" s="40">
        <v>2</v>
      </c>
      <c r="Q364" s="33"/>
      <c r="R364" s="28"/>
      <c r="S364" s="2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</row>
    <row r="365" spans="1:48" s="27" customFormat="1" ht="15.75" customHeight="1">
      <c r="A365" s="12"/>
      <c r="B365" s="97" t="s">
        <v>560</v>
      </c>
      <c r="C365" s="29" t="s">
        <v>741</v>
      </c>
      <c r="D365" s="51"/>
      <c r="E365" s="51"/>
      <c r="F365" s="51"/>
      <c r="G365" s="51">
        <v>19</v>
      </c>
      <c r="H365" s="51">
        <v>19</v>
      </c>
      <c r="I365" s="51">
        <v>19</v>
      </c>
      <c r="J365" s="51">
        <v>19</v>
      </c>
      <c r="K365" s="51">
        <v>19</v>
      </c>
      <c r="L365" s="40" t="s">
        <v>556</v>
      </c>
      <c r="M365" s="40">
        <v>1</v>
      </c>
      <c r="N365" s="40">
        <v>1</v>
      </c>
      <c r="O365" s="40">
        <v>1</v>
      </c>
      <c r="P365" s="40">
        <v>1</v>
      </c>
      <c r="Q365" s="33"/>
      <c r="R365" s="28"/>
      <c r="S365" s="2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</row>
    <row r="366" spans="1:48" s="18" customFormat="1" ht="17.25" customHeight="1">
      <c r="A366" s="50"/>
      <c r="B366" s="93" t="s">
        <v>670</v>
      </c>
      <c r="C366" s="16"/>
      <c r="D366" s="52"/>
      <c r="E366" s="51"/>
      <c r="F366" s="52"/>
      <c r="G366" s="52"/>
      <c r="H366" s="52"/>
      <c r="I366" s="52"/>
      <c r="J366" s="52"/>
      <c r="K366" s="52"/>
      <c r="L366" s="60" t="s">
        <v>556</v>
      </c>
      <c r="M366" s="60">
        <f>SUM(M367:M367)</f>
        <v>1</v>
      </c>
      <c r="N366" s="60" t="s">
        <v>556</v>
      </c>
      <c r="O366" s="60">
        <f>SUM(O367:O367)</f>
        <v>1</v>
      </c>
      <c r="P366" s="60" t="s">
        <v>556</v>
      </c>
      <c r="Q366" s="23"/>
      <c r="R366" s="23"/>
      <c r="S366" s="1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</row>
    <row r="367" spans="1:48" s="27" customFormat="1" ht="18.75" customHeight="1">
      <c r="A367" s="12"/>
      <c r="B367" s="97" t="s">
        <v>561</v>
      </c>
      <c r="C367" s="29" t="s">
        <v>1053</v>
      </c>
      <c r="D367" s="51"/>
      <c r="E367" s="51"/>
      <c r="F367" s="51"/>
      <c r="G367" s="51">
        <v>5</v>
      </c>
      <c r="H367" s="51">
        <v>5</v>
      </c>
      <c r="I367" s="51">
        <v>5</v>
      </c>
      <c r="J367" s="51">
        <v>5</v>
      </c>
      <c r="K367" s="51">
        <v>5</v>
      </c>
      <c r="L367" s="40" t="s">
        <v>556</v>
      </c>
      <c r="M367" s="40">
        <v>1</v>
      </c>
      <c r="N367" s="40" t="s">
        <v>556</v>
      </c>
      <c r="O367" s="40">
        <v>1</v>
      </c>
      <c r="P367" s="40" t="s">
        <v>556</v>
      </c>
      <c r="Q367" s="30"/>
      <c r="R367" s="30"/>
      <c r="S367" s="30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</row>
    <row r="368" spans="1:48" s="18" customFormat="1" ht="15" customHeight="1">
      <c r="A368" s="50"/>
      <c r="B368" s="93" t="s">
        <v>37</v>
      </c>
      <c r="C368" s="16"/>
      <c r="D368" s="52"/>
      <c r="E368" s="52"/>
      <c r="F368" s="52"/>
      <c r="G368" s="52"/>
      <c r="H368" s="52"/>
      <c r="I368" s="52"/>
      <c r="J368" s="52"/>
      <c r="K368" s="52"/>
      <c r="L368" s="60">
        <f>SUM(L369:L372)</f>
        <v>2</v>
      </c>
      <c r="M368" s="60">
        <f>SUM(M369:M372)</f>
        <v>2</v>
      </c>
      <c r="N368" s="60">
        <f>SUM(N369:N372)</f>
        <v>2</v>
      </c>
      <c r="O368" s="60" t="s">
        <v>556</v>
      </c>
      <c r="P368" s="60" t="s">
        <v>556</v>
      </c>
      <c r="Q368" s="23"/>
      <c r="R368" s="23"/>
      <c r="S368" s="1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</row>
    <row r="369" spans="1:48" s="27" customFormat="1" ht="19.5" customHeight="1">
      <c r="A369" s="12"/>
      <c r="B369" s="105" t="s">
        <v>934</v>
      </c>
      <c r="C369" s="15" t="s">
        <v>935</v>
      </c>
      <c r="D369" s="51"/>
      <c r="E369" s="51"/>
      <c r="F369" s="51"/>
      <c r="G369" s="51">
        <v>1</v>
      </c>
      <c r="H369" s="51">
        <v>1</v>
      </c>
      <c r="I369" s="51">
        <v>1</v>
      </c>
      <c r="J369" s="51">
        <v>1</v>
      </c>
      <c r="K369" s="51">
        <v>1</v>
      </c>
      <c r="L369" s="40" t="s">
        <v>556</v>
      </c>
      <c r="M369" s="40" t="s">
        <v>556</v>
      </c>
      <c r="N369" s="40">
        <v>1</v>
      </c>
      <c r="O369" s="40" t="s">
        <v>556</v>
      </c>
      <c r="P369" s="40" t="s">
        <v>556</v>
      </c>
      <c r="Q369" s="33"/>
      <c r="R369" s="33"/>
      <c r="S369" s="33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</row>
    <row r="370" spans="1:48" s="27" customFormat="1" ht="17.25" customHeight="1">
      <c r="A370" s="12"/>
      <c r="B370" s="106" t="s">
        <v>1045</v>
      </c>
      <c r="C370" s="66" t="s">
        <v>1046</v>
      </c>
      <c r="D370" s="51"/>
      <c r="E370" s="51"/>
      <c r="F370" s="51"/>
      <c r="G370" s="51">
        <v>1</v>
      </c>
      <c r="H370" s="51">
        <v>1</v>
      </c>
      <c r="I370" s="51">
        <v>1</v>
      </c>
      <c r="J370" s="51">
        <v>1</v>
      </c>
      <c r="K370" s="51">
        <v>1</v>
      </c>
      <c r="L370" s="40">
        <v>1</v>
      </c>
      <c r="M370" s="40" t="s">
        <v>556</v>
      </c>
      <c r="N370" s="40" t="s">
        <v>556</v>
      </c>
      <c r="O370" s="40" t="s">
        <v>556</v>
      </c>
      <c r="P370" s="40" t="s">
        <v>556</v>
      </c>
      <c r="Q370" s="30"/>
      <c r="R370" s="30"/>
      <c r="S370" s="30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</row>
    <row r="371" spans="1:48" s="27" customFormat="1" ht="18.75" customHeight="1">
      <c r="A371" s="12"/>
      <c r="B371" s="97" t="s">
        <v>867</v>
      </c>
      <c r="C371" s="15" t="s">
        <v>868</v>
      </c>
      <c r="D371" s="51"/>
      <c r="E371" s="51"/>
      <c r="F371" s="51"/>
      <c r="G371" s="51">
        <v>3</v>
      </c>
      <c r="H371" s="51">
        <v>3</v>
      </c>
      <c r="I371" s="51">
        <v>3</v>
      </c>
      <c r="J371" s="51">
        <v>3</v>
      </c>
      <c r="K371" s="51">
        <v>3</v>
      </c>
      <c r="L371" s="40">
        <v>1</v>
      </c>
      <c r="M371" s="40">
        <v>1</v>
      </c>
      <c r="N371" s="40">
        <v>1</v>
      </c>
      <c r="O371" s="40" t="s">
        <v>556</v>
      </c>
      <c r="P371" s="40" t="s">
        <v>556</v>
      </c>
      <c r="Q371" s="33"/>
      <c r="R371" s="33"/>
      <c r="S371" s="33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</row>
    <row r="372" spans="1:48" s="27" customFormat="1" ht="18.75" customHeight="1">
      <c r="A372" s="12"/>
      <c r="B372" s="97" t="s">
        <v>38</v>
      </c>
      <c r="C372" s="65" t="s">
        <v>457</v>
      </c>
      <c r="D372" s="51"/>
      <c r="E372" s="51"/>
      <c r="F372" s="51"/>
      <c r="G372" s="51">
        <v>1</v>
      </c>
      <c r="H372" s="51">
        <v>1</v>
      </c>
      <c r="I372" s="51">
        <v>1</v>
      </c>
      <c r="J372" s="51">
        <v>1</v>
      </c>
      <c r="K372" s="51">
        <v>1</v>
      </c>
      <c r="L372" s="40" t="s">
        <v>556</v>
      </c>
      <c r="M372" s="40">
        <v>1</v>
      </c>
      <c r="N372" s="40" t="s">
        <v>556</v>
      </c>
      <c r="O372" s="40" t="s">
        <v>556</v>
      </c>
      <c r="P372" s="40" t="s">
        <v>556</v>
      </c>
      <c r="Q372" s="33"/>
      <c r="R372" s="33"/>
      <c r="S372" s="33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</row>
    <row r="373" spans="1:19" ht="13.5" customHeight="1">
      <c r="A373" s="400" t="s">
        <v>909</v>
      </c>
      <c r="B373" s="400"/>
      <c r="C373" s="400"/>
      <c r="D373" s="400"/>
      <c r="E373" s="400"/>
      <c r="F373" s="400"/>
      <c r="G373" s="400"/>
      <c r="H373" s="400"/>
      <c r="I373" s="400"/>
      <c r="J373" s="400"/>
      <c r="K373" s="400"/>
      <c r="L373" s="400"/>
      <c r="M373" s="400"/>
      <c r="N373" s="400"/>
      <c r="O373" s="400"/>
      <c r="P373" s="400"/>
      <c r="Q373" s="21"/>
      <c r="R373" s="21"/>
      <c r="S373" s="8"/>
    </row>
    <row r="374" spans="1:188" s="57" customFormat="1" ht="19.5" customHeight="1">
      <c r="A374" s="13">
        <v>39</v>
      </c>
      <c r="B374" s="92" t="s">
        <v>179</v>
      </c>
      <c r="C374" s="45"/>
      <c r="D374" s="44"/>
      <c r="E374" s="44"/>
      <c r="F374" s="44"/>
      <c r="G374" s="44"/>
      <c r="H374" s="44"/>
      <c r="I374" s="44"/>
      <c r="J374" s="44"/>
      <c r="K374" s="44"/>
      <c r="L374" s="44">
        <f>L375</f>
        <v>3</v>
      </c>
      <c r="M374" s="44" t="s">
        <v>556</v>
      </c>
      <c r="N374" s="44">
        <f>N375</f>
        <v>3</v>
      </c>
      <c r="O374" s="44">
        <f>O375</f>
        <v>3</v>
      </c>
      <c r="P374" s="44">
        <f>P375</f>
        <v>3</v>
      </c>
      <c r="Q374" s="54" t="s">
        <v>648</v>
      </c>
      <c r="R374" s="54">
        <v>12</v>
      </c>
      <c r="S374" s="55" t="s">
        <v>731</v>
      </c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6"/>
      <c r="BG374" s="56"/>
      <c r="BH374" s="56"/>
      <c r="BI374" s="56"/>
      <c r="BJ374" s="56"/>
      <c r="BK374" s="56"/>
      <c r="BL374" s="56"/>
      <c r="BM374" s="56"/>
      <c r="BN374" s="56"/>
      <c r="BO374" s="56"/>
      <c r="BP374" s="56"/>
      <c r="BQ374" s="56"/>
      <c r="BR374" s="56"/>
      <c r="BS374" s="56"/>
      <c r="BT374" s="56"/>
      <c r="BU374" s="56"/>
      <c r="BV374" s="56"/>
      <c r="BW374" s="56"/>
      <c r="BX374" s="56"/>
      <c r="BY374" s="56"/>
      <c r="BZ374" s="56"/>
      <c r="CA374" s="56"/>
      <c r="CB374" s="56"/>
      <c r="CC374" s="56"/>
      <c r="CD374" s="56"/>
      <c r="CE374" s="56"/>
      <c r="CF374" s="56"/>
      <c r="CG374" s="56"/>
      <c r="CH374" s="56"/>
      <c r="CI374" s="56"/>
      <c r="CJ374" s="56"/>
      <c r="CK374" s="56"/>
      <c r="CL374" s="56"/>
      <c r="CM374" s="56"/>
      <c r="CN374" s="56"/>
      <c r="CO374" s="56"/>
      <c r="CP374" s="56"/>
      <c r="CQ374" s="56"/>
      <c r="CR374" s="56"/>
      <c r="CS374" s="56"/>
      <c r="CT374" s="56"/>
      <c r="CU374" s="56"/>
      <c r="CV374" s="56"/>
      <c r="CW374" s="56"/>
      <c r="CX374" s="56"/>
      <c r="CY374" s="56"/>
      <c r="CZ374" s="56"/>
      <c r="DA374" s="56"/>
      <c r="DB374" s="56"/>
      <c r="DC374" s="56"/>
      <c r="DD374" s="56"/>
      <c r="DE374" s="56"/>
      <c r="DF374" s="56"/>
      <c r="DG374" s="56"/>
      <c r="DH374" s="56"/>
      <c r="DI374" s="56"/>
      <c r="DJ374" s="56"/>
      <c r="DK374" s="56"/>
      <c r="DL374" s="56"/>
      <c r="DM374" s="56"/>
      <c r="DN374" s="56"/>
      <c r="DO374" s="56"/>
      <c r="DP374" s="56"/>
      <c r="DQ374" s="56"/>
      <c r="DR374" s="56"/>
      <c r="DS374" s="56"/>
      <c r="DT374" s="56"/>
      <c r="DU374" s="56"/>
      <c r="DV374" s="56"/>
      <c r="DW374" s="56"/>
      <c r="DX374" s="56"/>
      <c r="DY374" s="56"/>
      <c r="DZ374" s="56"/>
      <c r="EA374" s="56"/>
      <c r="EB374" s="56"/>
      <c r="EC374" s="56"/>
      <c r="ED374" s="56"/>
      <c r="EE374" s="56"/>
      <c r="EF374" s="56"/>
      <c r="EG374" s="56"/>
      <c r="EH374" s="56"/>
      <c r="EI374" s="56"/>
      <c r="EJ374" s="56"/>
      <c r="EK374" s="56"/>
      <c r="EL374" s="56"/>
      <c r="EM374" s="56"/>
      <c r="EN374" s="56"/>
      <c r="EO374" s="56"/>
      <c r="EP374" s="56"/>
      <c r="EQ374" s="56"/>
      <c r="ER374" s="56"/>
      <c r="ES374" s="56"/>
      <c r="ET374" s="56"/>
      <c r="EU374" s="56"/>
      <c r="EV374" s="56"/>
      <c r="EW374" s="56"/>
      <c r="EX374" s="56"/>
      <c r="EY374" s="56"/>
      <c r="EZ374" s="56"/>
      <c r="FA374" s="56"/>
      <c r="FB374" s="56"/>
      <c r="FC374" s="56"/>
      <c r="FD374" s="56"/>
      <c r="FE374" s="56"/>
      <c r="FF374" s="56"/>
      <c r="FG374" s="56"/>
      <c r="FH374" s="56"/>
      <c r="FI374" s="56"/>
      <c r="FJ374" s="56"/>
      <c r="FK374" s="56"/>
      <c r="FL374" s="56"/>
      <c r="FM374" s="56"/>
      <c r="FN374" s="56"/>
      <c r="FO374" s="56"/>
      <c r="FP374" s="56"/>
      <c r="FQ374" s="56"/>
      <c r="FR374" s="56"/>
      <c r="FS374" s="56"/>
      <c r="FT374" s="56"/>
      <c r="FU374" s="56"/>
      <c r="FV374" s="56"/>
      <c r="FW374" s="56"/>
      <c r="FX374" s="56"/>
      <c r="FY374" s="56"/>
      <c r="FZ374" s="56"/>
      <c r="GA374" s="56"/>
      <c r="GB374" s="56"/>
      <c r="GC374" s="56"/>
      <c r="GD374" s="56"/>
      <c r="GE374" s="56"/>
      <c r="GF374" s="56"/>
    </row>
    <row r="375" spans="1:48" s="18" customFormat="1" ht="18" customHeight="1">
      <c r="A375" s="50"/>
      <c r="B375" s="93" t="s">
        <v>669</v>
      </c>
      <c r="C375" s="16"/>
      <c r="D375" s="52"/>
      <c r="E375" s="52"/>
      <c r="F375" s="52"/>
      <c r="G375" s="52"/>
      <c r="H375" s="52"/>
      <c r="I375" s="52"/>
      <c r="J375" s="52"/>
      <c r="K375" s="52"/>
      <c r="L375" s="60">
        <f>SUM(L376:L377)</f>
        <v>3</v>
      </c>
      <c r="M375" s="60" t="s">
        <v>556</v>
      </c>
      <c r="N375" s="60">
        <f>SUM(N376:N377)</f>
        <v>3</v>
      </c>
      <c r="O375" s="60">
        <f>SUM(O376:O377)</f>
        <v>3</v>
      </c>
      <c r="P375" s="60">
        <f>SUM(P376:P377)</f>
        <v>3</v>
      </c>
      <c r="Q375" s="23"/>
      <c r="R375" s="23"/>
      <c r="S375" s="1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</row>
    <row r="376" spans="1:48" s="27" customFormat="1" ht="15.75" customHeight="1">
      <c r="A376" s="12"/>
      <c r="B376" s="97" t="s">
        <v>547</v>
      </c>
      <c r="C376" s="29" t="s">
        <v>548</v>
      </c>
      <c r="D376" s="51"/>
      <c r="E376" s="51"/>
      <c r="F376" s="51"/>
      <c r="G376" s="51"/>
      <c r="H376" s="51"/>
      <c r="I376" s="51"/>
      <c r="J376" s="51"/>
      <c r="K376" s="51"/>
      <c r="L376" s="40">
        <v>2</v>
      </c>
      <c r="M376" s="40" t="s">
        <v>556</v>
      </c>
      <c r="N376" s="40">
        <v>2</v>
      </c>
      <c r="O376" s="40">
        <v>2</v>
      </c>
      <c r="P376" s="40">
        <v>2</v>
      </c>
      <c r="Q376" s="33"/>
      <c r="R376" s="28"/>
      <c r="S376" s="2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</row>
    <row r="377" spans="1:48" s="27" customFormat="1" ht="15.75" customHeight="1">
      <c r="A377" s="12"/>
      <c r="B377" s="97" t="s">
        <v>1316</v>
      </c>
      <c r="C377" s="15" t="s">
        <v>1317</v>
      </c>
      <c r="D377" s="51"/>
      <c r="E377" s="51"/>
      <c r="F377" s="51"/>
      <c r="G377" s="51"/>
      <c r="H377" s="51"/>
      <c r="I377" s="51"/>
      <c r="J377" s="51"/>
      <c r="K377" s="51"/>
      <c r="L377" s="40">
        <v>1</v>
      </c>
      <c r="M377" s="40" t="s">
        <v>556</v>
      </c>
      <c r="N377" s="40">
        <v>1</v>
      </c>
      <c r="O377" s="40">
        <v>1</v>
      </c>
      <c r="P377" s="40">
        <v>1</v>
      </c>
      <c r="Q377" s="33"/>
      <c r="R377" s="33"/>
      <c r="S377" s="33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</row>
    <row r="378" spans="1:188" s="57" customFormat="1" ht="19.5" customHeight="1">
      <c r="A378" s="13">
        <v>40</v>
      </c>
      <c r="B378" s="92" t="s">
        <v>180</v>
      </c>
      <c r="C378" s="45"/>
      <c r="D378" s="44"/>
      <c r="E378" s="44"/>
      <c r="F378" s="44"/>
      <c r="G378" s="44"/>
      <c r="H378" s="44"/>
      <c r="I378" s="44"/>
      <c r="J378" s="44"/>
      <c r="K378" s="44"/>
      <c r="L378" s="44">
        <f>L379</f>
        <v>3</v>
      </c>
      <c r="M378" s="44">
        <f>M379</f>
        <v>3</v>
      </c>
      <c r="N378" s="44">
        <f>N379</f>
        <v>3</v>
      </c>
      <c r="O378" s="44">
        <f>O379</f>
        <v>3</v>
      </c>
      <c r="P378" s="44">
        <f>P379</f>
        <v>3</v>
      </c>
      <c r="Q378" s="54" t="s">
        <v>648</v>
      </c>
      <c r="R378" s="54">
        <v>12</v>
      </c>
      <c r="S378" s="55" t="s">
        <v>731</v>
      </c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56"/>
      <c r="BM378" s="56"/>
      <c r="BN378" s="56"/>
      <c r="BO378" s="56"/>
      <c r="BP378" s="56"/>
      <c r="BQ378" s="56"/>
      <c r="BR378" s="56"/>
      <c r="BS378" s="56"/>
      <c r="BT378" s="56"/>
      <c r="BU378" s="56"/>
      <c r="BV378" s="56"/>
      <c r="BW378" s="56"/>
      <c r="BX378" s="56"/>
      <c r="BY378" s="56"/>
      <c r="BZ378" s="56"/>
      <c r="CA378" s="56"/>
      <c r="CB378" s="56"/>
      <c r="CC378" s="56"/>
      <c r="CD378" s="56"/>
      <c r="CE378" s="56"/>
      <c r="CF378" s="56"/>
      <c r="CG378" s="56"/>
      <c r="CH378" s="56"/>
      <c r="CI378" s="56"/>
      <c r="CJ378" s="56"/>
      <c r="CK378" s="56"/>
      <c r="CL378" s="56"/>
      <c r="CM378" s="56"/>
      <c r="CN378" s="56"/>
      <c r="CO378" s="56"/>
      <c r="CP378" s="56"/>
      <c r="CQ378" s="56"/>
      <c r="CR378" s="56"/>
      <c r="CS378" s="56"/>
      <c r="CT378" s="56"/>
      <c r="CU378" s="56"/>
      <c r="CV378" s="56"/>
      <c r="CW378" s="56"/>
      <c r="CX378" s="56"/>
      <c r="CY378" s="56"/>
      <c r="CZ378" s="56"/>
      <c r="DA378" s="56"/>
      <c r="DB378" s="56"/>
      <c r="DC378" s="56"/>
      <c r="DD378" s="56"/>
      <c r="DE378" s="56"/>
      <c r="DF378" s="56"/>
      <c r="DG378" s="56"/>
      <c r="DH378" s="56"/>
      <c r="DI378" s="56"/>
      <c r="DJ378" s="56"/>
      <c r="DK378" s="56"/>
      <c r="DL378" s="56"/>
      <c r="DM378" s="56"/>
      <c r="DN378" s="56"/>
      <c r="DO378" s="56"/>
      <c r="DP378" s="56"/>
      <c r="DQ378" s="56"/>
      <c r="DR378" s="56"/>
      <c r="DS378" s="56"/>
      <c r="DT378" s="56"/>
      <c r="DU378" s="56"/>
      <c r="DV378" s="56"/>
      <c r="DW378" s="56"/>
      <c r="DX378" s="56"/>
      <c r="DY378" s="56"/>
      <c r="DZ378" s="56"/>
      <c r="EA378" s="56"/>
      <c r="EB378" s="56"/>
      <c r="EC378" s="56"/>
      <c r="ED378" s="56"/>
      <c r="EE378" s="56"/>
      <c r="EF378" s="56"/>
      <c r="EG378" s="56"/>
      <c r="EH378" s="56"/>
      <c r="EI378" s="56"/>
      <c r="EJ378" s="56"/>
      <c r="EK378" s="56"/>
      <c r="EL378" s="56"/>
      <c r="EM378" s="56"/>
      <c r="EN378" s="56"/>
      <c r="EO378" s="56"/>
      <c r="EP378" s="56"/>
      <c r="EQ378" s="56"/>
      <c r="ER378" s="56"/>
      <c r="ES378" s="56"/>
      <c r="ET378" s="56"/>
      <c r="EU378" s="56"/>
      <c r="EV378" s="56"/>
      <c r="EW378" s="56"/>
      <c r="EX378" s="56"/>
      <c r="EY378" s="56"/>
      <c r="EZ378" s="56"/>
      <c r="FA378" s="56"/>
      <c r="FB378" s="56"/>
      <c r="FC378" s="56"/>
      <c r="FD378" s="56"/>
      <c r="FE378" s="56"/>
      <c r="FF378" s="56"/>
      <c r="FG378" s="56"/>
      <c r="FH378" s="56"/>
      <c r="FI378" s="56"/>
      <c r="FJ378" s="56"/>
      <c r="FK378" s="56"/>
      <c r="FL378" s="56"/>
      <c r="FM378" s="56"/>
      <c r="FN378" s="56"/>
      <c r="FO378" s="56"/>
      <c r="FP378" s="56"/>
      <c r="FQ378" s="56"/>
      <c r="FR378" s="56"/>
      <c r="FS378" s="56"/>
      <c r="FT378" s="56"/>
      <c r="FU378" s="56"/>
      <c r="FV378" s="56"/>
      <c r="FW378" s="56"/>
      <c r="FX378" s="56"/>
      <c r="FY378" s="56"/>
      <c r="FZ378" s="56"/>
      <c r="GA378" s="56"/>
      <c r="GB378" s="56"/>
      <c r="GC378" s="56"/>
      <c r="GD378" s="56"/>
      <c r="GE378" s="56"/>
      <c r="GF378" s="56"/>
    </row>
    <row r="379" spans="1:48" s="18" customFormat="1" ht="18.75" customHeight="1">
      <c r="A379" s="50"/>
      <c r="B379" s="93" t="s">
        <v>669</v>
      </c>
      <c r="C379" s="16"/>
      <c r="D379" s="52"/>
      <c r="E379" s="52"/>
      <c r="F379" s="52"/>
      <c r="G379" s="52"/>
      <c r="H379" s="52"/>
      <c r="I379" s="52"/>
      <c r="J379" s="52"/>
      <c r="K379" s="52"/>
      <c r="L379" s="60">
        <f>SUM(L380:L381)</f>
        <v>3</v>
      </c>
      <c r="M379" s="60">
        <f>SUM(M380:M381)</f>
        <v>3</v>
      </c>
      <c r="N379" s="60">
        <f>SUM(N380:N381)</f>
        <v>3</v>
      </c>
      <c r="O379" s="60">
        <f>SUM(O380:O381)</f>
        <v>3</v>
      </c>
      <c r="P379" s="60">
        <f>SUM(P380:P381)</f>
        <v>3</v>
      </c>
      <c r="Q379" s="23"/>
      <c r="R379" s="23"/>
      <c r="S379" s="1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</row>
    <row r="380" spans="1:48" s="27" customFormat="1" ht="15.75" customHeight="1">
      <c r="A380" s="12"/>
      <c r="B380" s="97" t="s">
        <v>547</v>
      </c>
      <c r="C380" s="29" t="s">
        <v>548</v>
      </c>
      <c r="D380" s="51"/>
      <c r="E380" s="51"/>
      <c r="F380" s="51"/>
      <c r="G380" s="51"/>
      <c r="H380" s="51"/>
      <c r="I380" s="51"/>
      <c r="J380" s="51"/>
      <c r="K380" s="51"/>
      <c r="L380" s="40">
        <v>2</v>
      </c>
      <c r="M380" s="40">
        <v>2</v>
      </c>
      <c r="N380" s="40">
        <v>2</v>
      </c>
      <c r="O380" s="40">
        <v>2</v>
      </c>
      <c r="P380" s="40">
        <v>2</v>
      </c>
      <c r="Q380" s="33"/>
      <c r="R380" s="28"/>
      <c r="S380" s="2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</row>
    <row r="381" spans="1:48" s="27" customFormat="1" ht="15.75" customHeight="1">
      <c r="A381" s="12"/>
      <c r="B381" s="97" t="s">
        <v>1316</v>
      </c>
      <c r="C381" s="15" t="s">
        <v>1317</v>
      </c>
      <c r="D381" s="51"/>
      <c r="E381" s="51"/>
      <c r="F381" s="51"/>
      <c r="G381" s="51"/>
      <c r="H381" s="51"/>
      <c r="I381" s="51"/>
      <c r="J381" s="51"/>
      <c r="K381" s="51"/>
      <c r="L381" s="40">
        <v>1</v>
      </c>
      <c r="M381" s="40">
        <v>1</v>
      </c>
      <c r="N381" s="40">
        <v>1</v>
      </c>
      <c r="O381" s="40">
        <v>1</v>
      </c>
      <c r="P381" s="40">
        <v>1</v>
      </c>
      <c r="Q381" s="33"/>
      <c r="R381" s="33"/>
      <c r="S381" s="33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</row>
    <row r="382" spans="1:19" ht="14.25" customHeight="1">
      <c r="A382" s="399" t="s">
        <v>654</v>
      </c>
      <c r="B382" s="399"/>
      <c r="C382" s="399"/>
      <c r="D382" s="399"/>
      <c r="E382" s="399"/>
      <c r="F382" s="399"/>
      <c r="G382" s="399"/>
      <c r="H382" s="399"/>
      <c r="I382" s="399"/>
      <c r="J382" s="399"/>
      <c r="K382" s="399"/>
      <c r="L382" s="399"/>
      <c r="M382" s="399"/>
      <c r="N382" s="399"/>
      <c r="O382" s="399"/>
      <c r="P382" s="399"/>
      <c r="Q382" s="20"/>
      <c r="R382" s="20"/>
      <c r="S382" s="7"/>
    </row>
    <row r="383" spans="1:19" ht="13.5" customHeight="1">
      <c r="A383" s="400" t="s">
        <v>676</v>
      </c>
      <c r="B383" s="400"/>
      <c r="C383" s="400"/>
      <c r="D383" s="400"/>
      <c r="E383" s="400"/>
      <c r="F383" s="400"/>
      <c r="G383" s="400"/>
      <c r="H383" s="400"/>
      <c r="I383" s="400"/>
      <c r="J383" s="400"/>
      <c r="K383" s="400"/>
      <c r="L383" s="400"/>
      <c r="M383" s="400"/>
      <c r="N383" s="400"/>
      <c r="O383" s="400"/>
      <c r="P383" s="400"/>
      <c r="Q383" s="21"/>
      <c r="R383" s="21"/>
      <c r="S383" s="8"/>
    </row>
    <row r="384" spans="1:188" s="57" customFormat="1" ht="18" customHeight="1">
      <c r="A384" s="13">
        <v>41</v>
      </c>
      <c r="B384" s="92" t="s">
        <v>181</v>
      </c>
      <c r="C384" s="45"/>
      <c r="D384" s="44">
        <v>140</v>
      </c>
      <c r="E384" s="44">
        <v>8</v>
      </c>
      <c r="F384" s="44">
        <v>142</v>
      </c>
      <c r="G384" s="44">
        <v>140</v>
      </c>
      <c r="H384" s="44">
        <v>140</v>
      </c>
      <c r="I384" s="44">
        <v>140</v>
      </c>
      <c r="J384" s="44">
        <v>140</v>
      </c>
      <c r="K384" s="44">
        <v>140</v>
      </c>
      <c r="L384" s="44">
        <v>3</v>
      </c>
      <c r="M384" s="44">
        <v>3</v>
      </c>
      <c r="N384" s="44">
        <v>2</v>
      </c>
      <c r="O384" s="44">
        <v>1</v>
      </c>
      <c r="P384" s="44">
        <v>1</v>
      </c>
      <c r="Q384" s="54" t="s">
        <v>648</v>
      </c>
      <c r="R384" s="54">
        <v>13</v>
      </c>
      <c r="S384" s="55" t="s">
        <v>736</v>
      </c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56"/>
      <c r="BM384" s="56"/>
      <c r="BN384" s="56"/>
      <c r="BO384" s="56"/>
      <c r="BP384" s="56"/>
      <c r="BQ384" s="56"/>
      <c r="BR384" s="56"/>
      <c r="BS384" s="56"/>
      <c r="BT384" s="56"/>
      <c r="BU384" s="56"/>
      <c r="BV384" s="56"/>
      <c r="BW384" s="56"/>
      <c r="BX384" s="56"/>
      <c r="BY384" s="56"/>
      <c r="BZ384" s="56"/>
      <c r="CA384" s="56"/>
      <c r="CB384" s="56"/>
      <c r="CC384" s="56"/>
      <c r="CD384" s="56"/>
      <c r="CE384" s="56"/>
      <c r="CF384" s="56"/>
      <c r="CG384" s="56"/>
      <c r="CH384" s="56"/>
      <c r="CI384" s="56"/>
      <c r="CJ384" s="56"/>
      <c r="CK384" s="56"/>
      <c r="CL384" s="56"/>
      <c r="CM384" s="56"/>
      <c r="CN384" s="56"/>
      <c r="CO384" s="56"/>
      <c r="CP384" s="56"/>
      <c r="CQ384" s="56"/>
      <c r="CR384" s="56"/>
      <c r="CS384" s="56"/>
      <c r="CT384" s="56"/>
      <c r="CU384" s="56"/>
      <c r="CV384" s="56"/>
      <c r="CW384" s="56"/>
      <c r="CX384" s="56"/>
      <c r="CY384" s="56"/>
      <c r="CZ384" s="56"/>
      <c r="DA384" s="56"/>
      <c r="DB384" s="56"/>
      <c r="DC384" s="56"/>
      <c r="DD384" s="56"/>
      <c r="DE384" s="56"/>
      <c r="DF384" s="56"/>
      <c r="DG384" s="56"/>
      <c r="DH384" s="56"/>
      <c r="DI384" s="56"/>
      <c r="DJ384" s="56"/>
      <c r="DK384" s="56"/>
      <c r="DL384" s="56"/>
      <c r="DM384" s="56"/>
      <c r="DN384" s="56"/>
      <c r="DO384" s="56"/>
      <c r="DP384" s="56"/>
      <c r="DQ384" s="56"/>
      <c r="DR384" s="56"/>
      <c r="DS384" s="56"/>
      <c r="DT384" s="56"/>
      <c r="DU384" s="56"/>
      <c r="DV384" s="56"/>
      <c r="DW384" s="56"/>
      <c r="DX384" s="56"/>
      <c r="DY384" s="56"/>
      <c r="DZ384" s="56"/>
      <c r="EA384" s="56"/>
      <c r="EB384" s="56"/>
      <c r="EC384" s="56"/>
      <c r="ED384" s="56"/>
      <c r="EE384" s="56"/>
      <c r="EF384" s="56"/>
      <c r="EG384" s="56"/>
      <c r="EH384" s="56"/>
      <c r="EI384" s="56"/>
      <c r="EJ384" s="56"/>
      <c r="EK384" s="56"/>
      <c r="EL384" s="56"/>
      <c r="EM384" s="56"/>
      <c r="EN384" s="56"/>
      <c r="EO384" s="56"/>
      <c r="EP384" s="56"/>
      <c r="EQ384" s="56"/>
      <c r="ER384" s="56"/>
      <c r="ES384" s="56"/>
      <c r="ET384" s="56"/>
      <c r="EU384" s="56"/>
      <c r="EV384" s="56"/>
      <c r="EW384" s="56"/>
      <c r="EX384" s="56"/>
      <c r="EY384" s="56"/>
      <c r="EZ384" s="56"/>
      <c r="FA384" s="56"/>
      <c r="FB384" s="56"/>
      <c r="FC384" s="56"/>
      <c r="FD384" s="56"/>
      <c r="FE384" s="56"/>
      <c r="FF384" s="56"/>
      <c r="FG384" s="56"/>
      <c r="FH384" s="56"/>
      <c r="FI384" s="56"/>
      <c r="FJ384" s="56"/>
      <c r="FK384" s="56"/>
      <c r="FL384" s="56"/>
      <c r="FM384" s="56"/>
      <c r="FN384" s="56"/>
      <c r="FO384" s="56"/>
      <c r="FP384" s="56"/>
      <c r="FQ384" s="56"/>
      <c r="FR384" s="56"/>
      <c r="FS384" s="56"/>
      <c r="FT384" s="56"/>
      <c r="FU384" s="56"/>
      <c r="FV384" s="56"/>
      <c r="FW384" s="56"/>
      <c r="FX384" s="56"/>
      <c r="FY384" s="56"/>
      <c r="FZ384" s="56"/>
      <c r="GA384" s="56"/>
      <c r="GB384" s="56"/>
      <c r="GC384" s="56"/>
      <c r="GD384" s="56"/>
      <c r="GE384" s="56"/>
      <c r="GF384" s="56"/>
    </row>
    <row r="385" spans="1:48" s="18" customFormat="1" ht="18" customHeight="1">
      <c r="A385" s="50"/>
      <c r="B385" s="93" t="s">
        <v>669</v>
      </c>
      <c r="C385" s="16"/>
      <c r="D385" s="52"/>
      <c r="E385" s="52"/>
      <c r="F385" s="52"/>
      <c r="G385" s="52"/>
      <c r="H385" s="52"/>
      <c r="I385" s="52"/>
      <c r="J385" s="52"/>
      <c r="K385" s="52"/>
      <c r="L385" s="60">
        <f>SUM(L386:L386)</f>
        <v>1</v>
      </c>
      <c r="M385" s="60">
        <f>SUM(M386:M386)</f>
        <v>1</v>
      </c>
      <c r="N385" s="60">
        <f>SUM(N386:N386)</f>
        <v>2</v>
      </c>
      <c r="O385" s="60" t="str">
        <f>O386</f>
        <v> -</v>
      </c>
      <c r="P385" s="60" t="str">
        <f>P386</f>
        <v> -</v>
      </c>
      <c r="Q385" s="23"/>
      <c r="R385" s="23"/>
      <c r="S385" s="1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</row>
    <row r="386" spans="1:48" s="27" customFormat="1" ht="15.75" customHeight="1">
      <c r="A386" s="12"/>
      <c r="B386" s="97" t="s">
        <v>1049</v>
      </c>
      <c r="C386" s="29" t="s">
        <v>1050</v>
      </c>
      <c r="D386" s="51"/>
      <c r="E386" s="51"/>
      <c r="F386" s="51">
        <v>23</v>
      </c>
      <c r="G386" s="51">
        <v>24</v>
      </c>
      <c r="H386" s="51">
        <v>24</v>
      </c>
      <c r="I386" s="51">
        <v>24</v>
      </c>
      <c r="J386" s="51">
        <v>24</v>
      </c>
      <c r="K386" s="51">
        <v>24</v>
      </c>
      <c r="L386" s="40">
        <v>1</v>
      </c>
      <c r="M386" s="40">
        <v>1</v>
      </c>
      <c r="N386" s="40">
        <v>2</v>
      </c>
      <c r="O386" s="40" t="s">
        <v>556</v>
      </c>
      <c r="P386" s="40" t="s">
        <v>556</v>
      </c>
      <c r="Q386" s="30"/>
      <c r="R386" s="30"/>
      <c r="S386" s="30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</row>
    <row r="387" spans="1:48" s="18" customFormat="1" ht="15.75" customHeight="1">
      <c r="A387" s="50"/>
      <c r="B387" s="93" t="s">
        <v>37</v>
      </c>
      <c r="C387" s="16"/>
      <c r="D387" s="52"/>
      <c r="E387" s="51"/>
      <c r="F387" s="51"/>
      <c r="G387" s="51"/>
      <c r="H387" s="51"/>
      <c r="I387" s="51"/>
      <c r="J387" s="51"/>
      <c r="K387" s="51"/>
      <c r="L387" s="60">
        <f>SUM(L388:L390)</f>
        <v>2</v>
      </c>
      <c r="M387" s="60">
        <f>SUM(M388:M390)</f>
        <v>2</v>
      </c>
      <c r="N387" s="60">
        <f>SUM(N388:N390)</f>
        <v>1</v>
      </c>
      <c r="O387" s="60">
        <f>SUM(O388:O390)</f>
        <v>1</v>
      </c>
      <c r="P387" s="60">
        <f>SUM(P388:P390)</f>
        <v>1</v>
      </c>
      <c r="Q387" s="23"/>
      <c r="R387" s="23"/>
      <c r="S387" s="1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</row>
    <row r="388" spans="1:48" s="27" customFormat="1" ht="18.75" customHeight="1">
      <c r="A388" s="12"/>
      <c r="B388" s="97" t="s">
        <v>867</v>
      </c>
      <c r="C388" s="29" t="s">
        <v>868</v>
      </c>
      <c r="D388" s="51"/>
      <c r="E388" s="51"/>
      <c r="F388" s="51" t="s">
        <v>556</v>
      </c>
      <c r="G388" s="51">
        <v>1</v>
      </c>
      <c r="H388" s="51">
        <v>1</v>
      </c>
      <c r="I388" s="51">
        <v>1</v>
      </c>
      <c r="J388" s="51">
        <v>1</v>
      </c>
      <c r="K388" s="51">
        <v>1</v>
      </c>
      <c r="L388" s="40" t="s">
        <v>556</v>
      </c>
      <c r="M388" s="40">
        <v>1</v>
      </c>
      <c r="N388" s="40" t="s">
        <v>556</v>
      </c>
      <c r="O388" s="40" t="s">
        <v>556</v>
      </c>
      <c r="P388" s="40" t="s">
        <v>556</v>
      </c>
      <c r="Q388" s="33"/>
      <c r="R388" s="33"/>
      <c r="S388" s="33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</row>
    <row r="389" spans="1:48" s="27" customFormat="1" ht="18.75" customHeight="1">
      <c r="A389" s="12"/>
      <c r="B389" s="106" t="s">
        <v>262</v>
      </c>
      <c r="C389" s="66" t="s">
        <v>1358</v>
      </c>
      <c r="D389" s="51"/>
      <c r="E389" s="51"/>
      <c r="F389" s="51"/>
      <c r="G389" s="51">
        <v>1</v>
      </c>
      <c r="H389" s="51">
        <v>1</v>
      </c>
      <c r="I389" s="51">
        <v>1</v>
      </c>
      <c r="J389" s="51">
        <v>1</v>
      </c>
      <c r="K389" s="51">
        <v>1</v>
      </c>
      <c r="L389" s="40">
        <v>1</v>
      </c>
      <c r="M389" s="40" t="s">
        <v>556</v>
      </c>
      <c r="N389" s="40" t="s">
        <v>556</v>
      </c>
      <c r="O389" s="40" t="s">
        <v>556</v>
      </c>
      <c r="P389" s="40" t="s">
        <v>556</v>
      </c>
      <c r="Q389" s="30"/>
      <c r="R389" s="30"/>
      <c r="S389" s="30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</row>
    <row r="390" spans="1:48" s="27" customFormat="1" ht="18.75" customHeight="1">
      <c r="A390" s="12"/>
      <c r="B390" s="97" t="s">
        <v>869</v>
      </c>
      <c r="C390" s="29" t="s">
        <v>870</v>
      </c>
      <c r="D390" s="51"/>
      <c r="E390" s="51"/>
      <c r="F390" s="51" t="s">
        <v>556</v>
      </c>
      <c r="G390" s="51">
        <v>2</v>
      </c>
      <c r="H390" s="51">
        <v>2</v>
      </c>
      <c r="I390" s="51">
        <v>2</v>
      </c>
      <c r="J390" s="51">
        <v>2</v>
      </c>
      <c r="K390" s="51">
        <v>2</v>
      </c>
      <c r="L390" s="40">
        <v>1</v>
      </c>
      <c r="M390" s="40">
        <v>1</v>
      </c>
      <c r="N390" s="40">
        <v>1</v>
      </c>
      <c r="O390" s="40">
        <v>1</v>
      </c>
      <c r="P390" s="40">
        <v>1</v>
      </c>
      <c r="Q390" s="33"/>
      <c r="R390" s="33"/>
      <c r="S390" s="33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</row>
    <row r="391" spans="1:19" ht="13.5" customHeight="1">
      <c r="A391" s="400" t="s">
        <v>909</v>
      </c>
      <c r="B391" s="400"/>
      <c r="C391" s="400"/>
      <c r="D391" s="400"/>
      <c r="E391" s="400"/>
      <c r="F391" s="400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21"/>
      <c r="R391" s="21"/>
      <c r="S391" s="8"/>
    </row>
    <row r="392" spans="1:188" s="57" customFormat="1" ht="18" customHeight="1">
      <c r="A392" s="13">
        <v>42</v>
      </c>
      <c r="B392" s="92" t="s">
        <v>45</v>
      </c>
      <c r="C392" s="45"/>
      <c r="D392" s="44">
        <v>60</v>
      </c>
      <c r="E392" s="44">
        <v>18</v>
      </c>
      <c r="F392" s="44"/>
      <c r="G392" s="44">
        <v>60</v>
      </c>
      <c r="H392" s="44">
        <v>60</v>
      </c>
      <c r="I392" s="44">
        <v>60</v>
      </c>
      <c r="J392" s="44">
        <v>60</v>
      </c>
      <c r="K392" s="44">
        <v>60</v>
      </c>
      <c r="L392" s="44">
        <f>SUM(L393,L400,L403)</f>
        <v>6</v>
      </c>
      <c r="M392" s="44">
        <f>SUM(M393,M400,M403)</f>
        <v>4</v>
      </c>
      <c r="N392" s="44">
        <f>SUM(N393,N400,N403)</f>
        <v>1</v>
      </c>
      <c r="O392" s="44">
        <f>SUM(O393,O400,O403)</f>
        <v>1</v>
      </c>
      <c r="P392" s="44">
        <f>SUM(P393,P400,P403)</f>
        <v>2</v>
      </c>
      <c r="Q392" s="54" t="s">
        <v>649</v>
      </c>
      <c r="R392" s="54">
        <v>13</v>
      </c>
      <c r="S392" s="55" t="s">
        <v>916</v>
      </c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56"/>
      <c r="BM392" s="56"/>
      <c r="BN392" s="56"/>
      <c r="BO392" s="56"/>
      <c r="BP392" s="56"/>
      <c r="BQ392" s="56"/>
      <c r="BR392" s="56"/>
      <c r="BS392" s="56"/>
      <c r="BT392" s="56"/>
      <c r="BU392" s="56"/>
      <c r="BV392" s="56"/>
      <c r="BW392" s="56"/>
      <c r="BX392" s="56"/>
      <c r="BY392" s="56"/>
      <c r="BZ392" s="56"/>
      <c r="CA392" s="56"/>
      <c r="CB392" s="56"/>
      <c r="CC392" s="56"/>
      <c r="CD392" s="56"/>
      <c r="CE392" s="56"/>
      <c r="CF392" s="56"/>
      <c r="CG392" s="56"/>
      <c r="CH392" s="56"/>
      <c r="CI392" s="56"/>
      <c r="CJ392" s="56"/>
      <c r="CK392" s="56"/>
      <c r="CL392" s="56"/>
      <c r="CM392" s="56"/>
      <c r="CN392" s="56"/>
      <c r="CO392" s="56"/>
      <c r="CP392" s="56"/>
      <c r="CQ392" s="56"/>
      <c r="CR392" s="56"/>
      <c r="CS392" s="56"/>
      <c r="CT392" s="56"/>
      <c r="CU392" s="56"/>
      <c r="CV392" s="56"/>
      <c r="CW392" s="56"/>
      <c r="CX392" s="56"/>
      <c r="CY392" s="56"/>
      <c r="CZ392" s="56"/>
      <c r="DA392" s="56"/>
      <c r="DB392" s="56"/>
      <c r="DC392" s="56"/>
      <c r="DD392" s="56"/>
      <c r="DE392" s="56"/>
      <c r="DF392" s="56"/>
      <c r="DG392" s="56"/>
      <c r="DH392" s="56"/>
      <c r="DI392" s="56"/>
      <c r="DJ392" s="56"/>
      <c r="DK392" s="56"/>
      <c r="DL392" s="56"/>
      <c r="DM392" s="56"/>
      <c r="DN392" s="56"/>
      <c r="DO392" s="56"/>
      <c r="DP392" s="56"/>
      <c r="DQ392" s="56"/>
      <c r="DR392" s="56"/>
      <c r="DS392" s="56"/>
      <c r="DT392" s="56"/>
      <c r="DU392" s="56"/>
      <c r="DV392" s="56"/>
      <c r="DW392" s="56"/>
      <c r="DX392" s="56"/>
      <c r="DY392" s="56"/>
      <c r="DZ392" s="56"/>
      <c r="EA392" s="56"/>
      <c r="EB392" s="56"/>
      <c r="EC392" s="56"/>
      <c r="ED392" s="56"/>
      <c r="EE392" s="56"/>
      <c r="EF392" s="56"/>
      <c r="EG392" s="56"/>
      <c r="EH392" s="56"/>
      <c r="EI392" s="56"/>
      <c r="EJ392" s="56"/>
      <c r="EK392" s="56"/>
      <c r="EL392" s="56"/>
      <c r="EM392" s="56"/>
      <c r="EN392" s="56"/>
      <c r="EO392" s="56"/>
      <c r="EP392" s="56"/>
      <c r="EQ392" s="56"/>
      <c r="ER392" s="56"/>
      <c r="ES392" s="56"/>
      <c r="ET392" s="56"/>
      <c r="EU392" s="56"/>
      <c r="EV392" s="56"/>
      <c r="EW392" s="56"/>
      <c r="EX392" s="56"/>
      <c r="EY392" s="56"/>
      <c r="EZ392" s="56"/>
      <c r="FA392" s="56"/>
      <c r="FB392" s="56"/>
      <c r="FC392" s="56"/>
      <c r="FD392" s="56"/>
      <c r="FE392" s="56"/>
      <c r="FF392" s="56"/>
      <c r="FG392" s="56"/>
      <c r="FH392" s="56"/>
      <c r="FI392" s="56"/>
      <c r="FJ392" s="56"/>
      <c r="FK392" s="56"/>
      <c r="FL392" s="56"/>
      <c r="FM392" s="56"/>
      <c r="FN392" s="56"/>
      <c r="FO392" s="56"/>
      <c r="FP392" s="56"/>
      <c r="FQ392" s="56"/>
      <c r="FR392" s="56"/>
      <c r="FS392" s="56"/>
      <c r="FT392" s="56"/>
      <c r="FU392" s="56"/>
      <c r="FV392" s="56"/>
      <c r="FW392" s="56"/>
      <c r="FX392" s="56"/>
      <c r="FY392" s="56"/>
      <c r="FZ392" s="56"/>
      <c r="GA392" s="56"/>
      <c r="GB392" s="56"/>
      <c r="GC392" s="56"/>
      <c r="GD392" s="56"/>
      <c r="GE392" s="56"/>
      <c r="GF392" s="56"/>
    </row>
    <row r="393" spans="1:48" s="18" customFormat="1" ht="17.25" customHeight="1">
      <c r="A393" s="50"/>
      <c r="B393" s="93" t="s">
        <v>669</v>
      </c>
      <c r="C393" s="16"/>
      <c r="D393" s="52"/>
      <c r="E393" s="52"/>
      <c r="F393" s="52"/>
      <c r="G393" s="52"/>
      <c r="H393" s="52"/>
      <c r="I393" s="52"/>
      <c r="J393" s="52"/>
      <c r="K393" s="52"/>
      <c r="L393" s="60">
        <f>SUM(L394:L399)</f>
        <v>4</v>
      </c>
      <c r="M393" s="60">
        <f>SUM(M394:M399)</f>
        <v>3</v>
      </c>
      <c r="N393" s="60" t="s">
        <v>556</v>
      </c>
      <c r="O393" s="60">
        <f>SUM(O394:O399)</f>
        <v>1</v>
      </c>
      <c r="P393" s="60">
        <f>SUM(P394:P399)</f>
        <v>2</v>
      </c>
      <c r="Q393" s="23"/>
      <c r="R393" s="23"/>
      <c r="S393" s="1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</row>
    <row r="394" spans="1:48" s="27" customFormat="1" ht="15.75" customHeight="1">
      <c r="A394" s="12"/>
      <c r="B394" s="97" t="s">
        <v>1049</v>
      </c>
      <c r="C394" s="29" t="s">
        <v>1050</v>
      </c>
      <c r="D394" s="51"/>
      <c r="E394" s="51"/>
      <c r="F394" s="51"/>
      <c r="G394" s="51">
        <v>7</v>
      </c>
      <c r="H394" s="51">
        <v>7</v>
      </c>
      <c r="I394" s="51">
        <v>7</v>
      </c>
      <c r="J394" s="51">
        <v>7</v>
      </c>
      <c r="K394" s="51">
        <v>7</v>
      </c>
      <c r="L394" s="40">
        <v>2</v>
      </c>
      <c r="M394" s="40">
        <v>1</v>
      </c>
      <c r="N394" s="40" t="s">
        <v>556</v>
      </c>
      <c r="O394" s="40" t="s">
        <v>556</v>
      </c>
      <c r="P394" s="40">
        <v>1</v>
      </c>
      <c r="Q394" s="30"/>
      <c r="R394" s="30"/>
      <c r="S394" s="30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</row>
    <row r="395" spans="1:48" s="27" customFormat="1" ht="15.75" customHeight="1">
      <c r="A395" s="12"/>
      <c r="B395" s="97" t="s">
        <v>1047</v>
      </c>
      <c r="C395" s="29" t="s">
        <v>1048</v>
      </c>
      <c r="D395" s="51"/>
      <c r="E395" s="51"/>
      <c r="F395" s="51"/>
      <c r="G395" s="51">
        <v>3</v>
      </c>
      <c r="H395" s="51">
        <v>3</v>
      </c>
      <c r="I395" s="51">
        <v>3</v>
      </c>
      <c r="J395" s="51">
        <v>3</v>
      </c>
      <c r="K395" s="51">
        <v>3</v>
      </c>
      <c r="L395" s="40">
        <v>1</v>
      </c>
      <c r="M395" s="40" t="s">
        <v>556</v>
      </c>
      <c r="N395" s="40" t="s">
        <v>556</v>
      </c>
      <c r="O395" s="40" t="s">
        <v>556</v>
      </c>
      <c r="P395" s="40" t="s">
        <v>556</v>
      </c>
      <c r="Q395" s="30"/>
      <c r="R395" s="30"/>
      <c r="S395" s="30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</row>
    <row r="396" spans="1:48" s="27" customFormat="1" ht="15.75" customHeight="1">
      <c r="A396" s="12"/>
      <c r="B396" s="97" t="s">
        <v>560</v>
      </c>
      <c r="C396" s="29" t="s">
        <v>741</v>
      </c>
      <c r="D396" s="51"/>
      <c r="E396" s="51"/>
      <c r="F396" s="51"/>
      <c r="G396" s="51">
        <v>5</v>
      </c>
      <c r="H396" s="51">
        <v>5</v>
      </c>
      <c r="I396" s="51">
        <v>5</v>
      </c>
      <c r="J396" s="51">
        <v>5</v>
      </c>
      <c r="K396" s="51">
        <v>5</v>
      </c>
      <c r="L396" s="40">
        <v>1</v>
      </c>
      <c r="M396" s="40">
        <v>1</v>
      </c>
      <c r="N396" s="40" t="s">
        <v>556</v>
      </c>
      <c r="O396" s="40" t="s">
        <v>556</v>
      </c>
      <c r="P396" s="40" t="s">
        <v>556</v>
      </c>
      <c r="Q396" s="30"/>
      <c r="R396" s="30"/>
      <c r="S396" s="30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</row>
    <row r="397" spans="1:48" s="27" customFormat="1" ht="17.25" customHeight="1">
      <c r="A397" s="12"/>
      <c r="B397" s="97" t="s">
        <v>595</v>
      </c>
      <c r="C397" s="29" t="s">
        <v>596</v>
      </c>
      <c r="D397" s="51"/>
      <c r="E397" s="51"/>
      <c r="F397" s="51"/>
      <c r="G397" s="51">
        <v>1</v>
      </c>
      <c r="H397" s="51">
        <v>1</v>
      </c>
      <c r="I397" s="51">
        <v>1</v>
      </c>
      <c r="J397" s="51">
        <v>1</v>
      </c>
      <c r="K397" s="51">
        <v>1</v>
      </c>
      <c r="L397" s="40" t="s">
        <v>556</v>
      </c>
      <c r="M397" s="40" t="s">
        <v>556</v>
      </c>
      <c r="N397" s="40" t="s">
        <v>556</v>
      </c>
      <c r="O397" s="40" t="s">
        <v>556</v>
      </c>
      <c r="P397" s="40">
        <v>1</v>
      </c>
      <c r="Q397" s="30"/>
      <c r="R397" s="30"/>
      <c r="S397" s="30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</row>
    <row r="398" spans="1:48" s="27" customFormat="1" ht="15.75" customHeight="1">
      <c r="A398" s="12"/>
      <c r="B398" s="97" t="s">
        <v>594</v>
      </c>
      <c r="C398" s="29" t="s">
        <v>783</v>
      </c>
      <c r="D398" s="51"/>
      <c r="E398" s="51"/>
      <c r="F398" s="51"/>
      <c r="G398" s="51">
        <v>11</v>
      </c>
      <c r="H398" s="51">
        <v>11</v>
      </c>
      <c r="I398" s="51">
        <v>11</v>
      </c>
      <c r="J398" s="51">
        <v>11</v>
      </c>
      <c r="K398" s="51">
        <v>11</v>
      </c>
      <c r="L398" s="40" t="s">
        <v>556</v>
      </c>
      <c r="M398" s="40" t="s">
        <v>556</v>
      </c>
      <c r="N398" s="40" t="s">
        <v>556</v>
      </c>
      <c r="O398" s="40">
        <v>1</v>
      </c>
      <c r="P398" s="40" t="s">
        <v>556</v>
      </c>
      <c r="Q398" s="30"/>
      <c r="R398" s="30"/>
      <c r="S398" s="30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</row>
    <row r="399" spans="1:48" s="27" customFormat="1" ht="15.75" customHeight="1">
      <c r="A399" s="12"/>
      <c r="B399" s="97" t="s">
        <v>634</v>
      </c>
      <c r="C399" s="29" t="s">
        <v>639</v>
      </c>
      <c r="D399" s="51"/>
      <c r="E399" s="51"/>
      <c r="F399" s="51"/>
      <c r="G399" s="51">
        <v>2</v>
      </c>
      <c r="H399" s="51">
        <v>2</v>
      </c>
      <c r="I399" s="51">
        <v>2</v>
      </c>
      <c r="J399" s="51">
        <v>2</v>
      </c>
      <c r="K399" s="51">
        <v>2</v>
      </c>
      <c r="L399" s="40" t="s">
        <v>556</v>
      </c>
      <c r="M399" s="40">
        <v>1</v>
      </c>
      <c r="N399" s="40" t="s">
        <v>556</v>
      </c>
      <c r="O399" s="40" t="s">
        <v>556</v>
      </c>
      <c r="P399" s="40" t="s">
        <v>556</v>
      </c>
      <c r="Q399" s="30"/>
      <c r="R399" s="30"/>
      <c r="S399" s="30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</row>
    <row r="400" spans="1:48" s="18" customFormat="1" ht="17.25" customHeight="1">
      <c r="A400" s="50"/>
      <c r="B400" s="93" t="s">
        <v>1336</v>
      </c>
      <c r="C400" s="16"/>
      <c r="D400" s="52"/>
      <c r="E400" s="52"/>
      <c r="F400" s="52"/>
      <c r="G400" s="52"/>
      <c r="H400" s="52"/>
      <c r="I400" s="52"/>
      <c r="J400" s="52"/>
      <c r="K400" s="52"/>
      <c r="L400" s="60">
        <f>SUM(L401:L402)</f>
        <v>2</v>
      </c>
      <c r="M400" s="60">
        <f>SUM(M401:M402)</f>
        <v>1</v>
      </c>
      <c r="N400" s="60" t="s">
        <v>556</v>
      </c>
      <c r="O400" s="60" t="s">
        <v>556</v>
      </c>
      <c r="P400" s="60" t="s">
        <v>556</v>
      </c>
      <c r="Q400" s="238" t="s">
        <v>556</v>
      </c>
      <c r="R400" s="52" t="s">
        <v>556</v>
      </c>
      <c r="S400" s="52" t="s">
        <v>556</v>
      </c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</row>
    <row r="401" spans="1:48" s="81" customFormat="1" ht="18" customHeight="1">
      <c r="A401" s="12"/>
      <c r="B401" s="97" t="s">
        <v>561</v>
      </c>
      <c r="C401" s="66" t="s">
        <v>804</v>
      </c>
      <c r="D401" s="51"/>
      <c r="E401" s="51"/>
      <c r="F401" s="51"/>
      <c r="G401" s="51">
        <v>3</v>
      </c>
      <c r="H401" s="51">
        <v>3</v>
      </c>
      <c r="I401" s="51">
        <v>3</v>
      </c>
      <c r="J401" s="51">
        <v>3</v>
      </c>
      <c r="K401" s="51">
        <v>3</v>
      </c>
      <c r="L401" s="40">
        <v>2</v>
      </c>
      <c r="M401" s="40" t="s">
        <v>556</v>
      </c>
      <c r="N401" s="40" t="s">
        <v>556</v>
      </c>
      <c r="O401" s="40" t="s">
        <v>556</v>
      </c>
      <c r="P401" s="40" t="s">
        <v>556</v>
      </c>
      <c r="Q401" s="88"/>
      <c r="R401" s="88"/>
      <c r="S401" s="88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80"/>
      <c r="AO401" s="80"/>
      <c r="AP401" s="80"/>
      <c r="AQ401" s="80"/>
      <c r="AR401" s="80"/>
      <c r="AS401" s="80"/>
      <c r="AT401" s="80"/>
      <c r="AU401" s="80"/>
      <c r="AV401" s="80"/>
    </row>
    <row r="402" spans="1:48" s="81" customFormat="1" ht="20.25" customHeight="1">
      <c r="A402" s="12"/>
      <c r="B402" s="97" t="s">
        <v>65</v>
      </c>
      <c r="C402" s="29" t="s">
        <v>66</v>
      </c>
      <c r="D402" s="51"/>
      <c r="E402" s="51"/>
      <c r="F402" s="51"/>
      <c r="G402" s="51">
        <v>1</v>
      </c>
      <c r="H402" s="51">
        <v>1</v>
      </c>
      <c r="I402" s="51">
        <v>1</v>
      </c>
      <c r="J402" s="51">
        <v>1</v>
      </c>
      <c r="K402" s="51">
        <v>1</v>
      </c>
      <c r="L402" s="40" t="s">
        <v>556</v>
      </c>
      <c r="M402" s="40">
        <v>1</v>
      </c>
      <c r="N402" s="40" t="s">
        <v>556</v>
      </c>
      <c r="O402" s="40" t="s">
        <v>556</v>
      </c>
      <c r="P402" s="40" t="s">
        <v>556</v>
      </c>
      <c r="Q402" s="88"/>
      <c r="R402" s="88"/>
      <c r="S402" s="88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80"/>
      <c r="AO402" s="80"/>
      <c r="AP402" s="80"/>
      <c r="AQ402" s="80"/>
      <c r="AR402" s="80"/>
      <c r="AS402" s="80"/>
      <c r="AT402" s="80"/>
      <c r="AU402" s="80"/>
      <c r="AV402" s="80"/>
    </row>
    <row r="403" spans="1:48" s="18" customFormat="1" ht="18" customHeight="1">
      <c r="A403" s="50"/>
      <c r="B403" s="93" t="s">
        <v>37</v>
      </c>
      <c r="C403" s="16"/>
      <c r="D403" s="52"/>
      <c r="E403" s="51"/>
      <c r="F403" s="51"/>
      <c r="G403" s="51"/>
      <c r="H403" s="51"/>
      <c r="I403" s="51"/>
      <c r="J403" s="51"/>
      <c r="K403" s="51"/>
      <c r="L403" s="60" t="s">
        <v>556</v>
      </c>
      <c r="M403" s="60" t="s">
        <v>556</v>
      </c>
      <c r="N403" s="60">
        <v>1</v>
      </c>
      <c r="O403" s="60" t="s">
        <v>556</v>
      </c>
      <c r="P403" s="60" t="s">
        <v>556</v>
      </c>
      <c r="Q403" s="23"/>
      <c r="R403" s="23"/>
      <c r="S403" s="1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</row>
    <row r="404" spans="1:48" s="27" customFormat="1" ht="18.75" customHeight="1">
      <c r="A404" s="12"/>
      <c r="B404" s="97" t="s">
        <v>867</v>
      </c>
      <c r="C404" s="15" t="s">
        <v>868</v>
      </c>
      <c r="D404" s="51"/>
      <c r="E404" s="51"/>
      <c r="F404" s="51"/>
      <c r="G404" s="51">
        <v>1</v>
      </c>
      <c r="H404" s="51">
        <v>1</v>
      </c>
      <c r="I404" s="51">
        <v>1</v>
      </c>
      <c r="J404" s="51">
        <v>1</v>
      </c>
      <c r="K404" s="51">
        <v>1</v>
      </c>
      <c r="L404" s="40" t="s">
        <v>556</v>
      </c>
      <c r="M404" s="40" t="s">
        <v>556</v>
      </c>
      <c r="N404" s="40">
        <v>1</v>
      </c>
      <c r="O404" s="40" t="s">
        <v>556</v>
      </c>
      <c r="P404" s="40" t="s">
        <v>556</v>
      </c>
      <c r="Q404" s="33"/>
      <c r="R404" s="33"/>
      <c r="S404" s="33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</row>
    <row r="405" spans="1:19" ht="14.25" customHeight="1">
      <c r="A405" s="399" t="s">
        <v>653</v>
      </c>
      <c r="B405" s="399"/>
      <c r="C405" s="399"/>
      <c r="D405" s="399"/>
      <c r="E405" s="399"/>
      <c r="F405" s="399"/>
      <c r="G405" s="399"/>
      <c r="H405" s="399"/>
      <c r="I405" s="399"/>
      <c r="J405" s="399"/>
      <c r="K405" s="399"/>
      <c r="L405" s="399"/>
      <c r="M405" s="399"/>
      <c r="N405" s="399"/>
      <c r="O405" s="399"/>
      <c r="P405" s="399"/>
      <c r="Q405" s="20"/>
      <c r="R405" s="20"/>
      <c r="S405" s="7"/>
    </row>
    <row r="406" spans="1:19" ht="13.5" customHeight="1">
      <c r="A406" s="400" t="s">
        <v>676</v>
      </c>
      <c r="B406" s="400"/>
      <c r="C406" s="400"/>
      <c r="D406" s="400"/>
      <c r="E406" s="400"/>
      <c r="F406" s="400"/>
      <c r="G406" s="400"/>
      <c r="H406" s="400"/>
      <c r="I406" s="400"/>
      <c r="J406" s="400"/>
      <c r="K406" s="400"/>
      <c r="L406" s="400"/>
      <c r="M406" s="400"/>
      <c r="N406" s="400"/>
      <c r="O406" s="400"/>
      <c r="P406" s="400"/>
      <c r="Q406" s="21"/>
      <c r="R406" s="21"/>
      <c r="S406" s="8"/>
    </row>
    <row r="407" spans="1:188" s="57" customFormat="1" ht="18" customHeight="1">
      <c r="A407" s="13">
        <v>43</v>
      </c>
      <c r="B407" s="92" t="s">
        <v>267</v>
      </c>
      <c r="C407" s="45"/>
      <c r="D407" s="44">
        <v>87</v>
      </c>
      <c r="E407" s="44">
        <v>14</v>
      </c>
      <c r="F407" s="44">
        <v>111</v>
      </c>
      <c r="G407" s="44">
        <v>87</v>
      </c>
      <c r="H407" s="44">
        <v>87</v>
      </c>
      <c r="I407" s="44">
        <v>87</v>
      </c>
      <c r="J407" s="44">
        <v>87</v>
      </c>
      <c r="K407" s="44">
        <v>87</v>
      </c>
      <c r="L407" s="44" t="str">
        <f>L408</f>
        <v> -</v>
      </c>
      <c r="M407" s="44">
        <f aca="true" t="shared" si="9" ref="M407:P408">M408</f>
        <v>1</v>
      </c>
      <c r="N407" s="44" t="str">
        <f t="shared" si="9"/>
        <v> -</v>
      </c>
      <c r="O407" s="44" t="str">
        <f t="shared" si="9"/>
        <v> </v>
      </c>
      <c r="P407" s="44" t="str">
        <f t="shared" si="9"/>
        <v> -</v>
      </c>
      <c r="Q407" s="54" t="s">
        <v>648</v>
      </c>
      <c r="R407" s="54">
        <v>14</v>
      </c>
      <c r="S407" s="55" t="s">
        <v>904</v>
      </c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56"/>
      <c r="BM407" s="56"/>
      <c r="BN407" s="56"/>
      <c r="BO407" s="56"/>
      <c r="BP407" s="56"/>
      <c r="BQ407" s="56"/>
      <c r="BR407" s="56"/>
      <c r="BS407" s="56"/>
      <c r="BT407" s="56"/>
      <c r="BU407" s="56"/>
      <c r="BV407" s="56"/>
      <c r="BW407" s="56"/>
      <c r="BX407" s="56"/>
      <c r="BY407" s="56"/>
      <c r="BZ407" s="56"/>
      <c r="CA407" s="56"/>
      <c r="CB407" s="56"/>
      <c r="CC407" s="56"/>
      <c r="CD407" s="56"/>
      <c r="CE407" s="56"/>
      <c r="CF407" s="56"/>
      <c r="CG407" s="56"/>
      <c r="CH407" s="56"/>
      <c r="CI407" s="56"/>
      <c r="CJ407" s="56"/>
      <c r="CK407" s="56"/>
      <c r="CL407" s="56"/>
      <c r="CM407" s="56"/>
      <c r="CN407" s="56"/>
      <c r="CO407" s="56"/>
      <c r="CP407" s="56"/>
      <c r="CQ407" s="56"/>
      <c r="CR407" s="56"/>
      <c r="CS407" s="56"/>
      <c r="CT407" s="56"/>
      <c r="CU407" s="56"/>
      <c r="CV407" s="56"/>
      <c r="CW407" s="56"/>
      <c r="CX407" s="56"/>
      <c r="CY407" s="56"/>
      <c r="CZ407" s="56"/>
      <c r="DA407" s="56"/>
      <c r="DB407" s="56"/>
      <c r="DC407" s="56"/>
      <c r="DD407" s="56"/>
      <c r="DE407" s="56"/>
      <c r="DF407" s="56"/>
      <c r="DG407" s="56"/>
      <c r="DH407" s="56"/>
      <c r="DI407" s="56"/>
      <c r="DJ407" s="56"/>
      <c r="DK407" s="56"/>
      <c r="DL407" s="56"/>
      <c r="DM407" s="56"/>
      <c r="DN407" s="56"/>
      <c r="DO407" s="56"/>
      <c r="DP407" s="56"/>
      <c r="DQ407" s="56"/>
      <c r="DR407" s="56"/>
      <c r="DS407" s="56"/>
      <c r="DT407" s="56"/>
      <c r="DU407" s="56"/>
      <c r="DV407" s="56"/>
      <c r="DW407" s="56"/>
      <c r="DX407" s="56"/>
      <c r="DY407" s="56"/>
      <c r="DZ407" s="56"/>
      <c r="EA407" s="56"/>
      <c r="EB407" s="56"/>
      <c r="EC407" s="56"/>
      <c r="ED407" s="56"/>
      <c r="EE407" s="56"/>
      <c r="EF407" s="56"/>
      <c r="EG407" s="56"/>
      <c r="EH407" s="56"/>
      <c r="EI407" s="56"/>
      <c r="EJ407" s="56"/>
      <c r="EK407" s="56"/>
      <c r="EL407" s="56"/>
      <c r="EM407" s="56"/>
      <c r="EN407" s="56"/>
      <c r="EO407" s="56"/>
      <c r="EP407" s="56"/>
      <c r="EQ407" s="56"/>
      <c r="ER407" s="56"/>
      <c r="ES407" s="56"/>
      <c r="ET407" s="56"/>
      <c r="EU407" s="56"/>
      <c r="EV407" s="56"/>
      <c r="EW407" s="56"/>
      <c r="EX407" s="56"/>
      <c r="EY407" s="56"/>
      <c r="EZ407" s="56"/>
      <c r="FA407" s="56"/>
      <c r="FB407" s="56"/>
      <c r="FC407" s="56"/>
      <c r="FD407" s="56"/>
      <c r="FE407" s="56"/>
      <c r="FF407" s="56"/>
      <c r="FG407" s="56"/>
      <c r="FH407" s="56"/>
      <c r="FI407" s="56"/>
      <c r="FJ407" s="56"/>
      <c r="FK407" s="56"/>
      <c r="FL407" s="56"/>
      <c r="FM407" s="56"/>
      <c r="FN407" s="56"/>
      <c r="FO407" s="56"/>
      <c r="FP407" s="56"/>
      <c r="FQ407" s="56"/>
      <c r="FR407" s="56"/>
      <c r="FS407" s="56"/>
      <c r="FT407" s="56"/>
      <c r="FU407" s="56"/>
      <c r="FV407" s="56"/>
      <c r="FW407" s="56"/>
      <c r="FX407" s="56"/>
      <c r="FY407" s="56"/>
      <c r="FZ407" s="56"/>
      <c r="GA407" s="56"/>
      <c r="GB407" s="56"/>
      <c r="GC407" s="56"/>
      <c r="GD407" s="56"/>
      <c r="GE407" s="56"/>
      <c r="GF407" s="56"/>
    </row>
    <row r="408" spans="1:48" s="18" customFormat="1" ht="15.75" customHeight="1">
      <c r="A408" s="50"/>
      <c r="B408" s="93" t="s">
        <v>37</v>
      </c>
      <c r="C408" s="16"/>
      <c r="D408" s="52"/>
      <c r="E408" s="51"/>
      <c r="F408" s="52"/>
      <c r="G408" s="52"/>
      <c r="H408" s="52"/>
      <c r="I408" s="52"/>
      <c r="J408" s="52"/>
      <c r="K408" s="52"/>
      <c r="L408" s="60" t="str">
        <f>L409</f>
        <v> -</v>
      </c>
      <c r="M408" s="60">
        <f t="shared" si="9"/>
        <v>1</v>
      </c>
      <c r="N408" s="60" t="str">
        <f t="shared" si="9"/>
        <v> -</v>
      </c>
      <c r="O408" s="60" t="s">
        <v>268</v>
      </c>
      <c r="P408" s="60" t="str">
        <f t="shared" si="9"/>
        <v> -</v>
      </c>
      <c r="Q408" s="76" t="s">
        <v>556</v>
      </c>
      <c r="R408" s="51" t="s">
        <v>556</v>
      </c>
      <c r="S408" s="51" t="s">
        <v>556</v>
      </c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</row>
    <row r="409" spans="1:48" s="27" customFormat="1" ht="18.75" customHeight="1">
      <c r="A409" s="12"/>
      <c r="B409" s="97" t="s">
        <v>38</v>
      </c>
      <c r="C409" s="65" t="s">
        <v>457</v>
      </c>
      <c r="D409" s="51"/>
      <c r="E409" s="51"/>
      <c r="F409" s="51">
        <v>1</v>
      </c>
      <c r="G409" s="51">
        <v>4</v>
      </c>
      <c r="H409" s="51">
        <v>4</v>
      </c>
      <c r="I409" s="51">
        <v>4</v>
      </c>
      <c r="J409" s="51">
        <v>4</v>
      </c>
      <c r="K409" s="51">
        <v>4</v>
      </c>
      <c r="L409" s="40" t="s">
        <v>556</v>
      </c>
      <c r="M409" s="40">
        <v>1</v>
      </c>
      <c r="N409" s="40" t="s">
        <v>556</v>
      </c>
      <c r="O409" s="40" t="s">
        <v>556</v>
      </c>
      <c r="P409" s="40" t="s">
        <v>556</v>
      </c>
      <c r="Q409" s="33"/>
      <c r="R409" s="33"/>
      <c r="S409" s="33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</row>
    <row r="410" spans="1:19" ht="14.25" customHeight="1">
      <c r="A410" s="399" t="s">
        <v>652</v>
      </c>
      <c r="B410" s="399"/>
      <c r="C410" s="399"/>
      <c r="D410" s="399"/>
      <c r="E410" s="399"/>
      <c r="F410" s="399"/>
      <c r="G410" s="399"/>
      <c r="H410" s="399"/>
      <c r="I410" s="399"/>
      <c r="J410" s="399"/>
      <c r="K410" s="399"/>
      <c r="L410" s="399"/>
      <c r="M410" s="399"/>
      <c r="N410" s="399"/>
      <c r="O410" s="399"/>
      <c r="P410" s="399"/>
      <c r="Q410" s="20"/>
      <c r="R410" s="20"/>
      <c r="S410" s="7"/>
    </row>
    <row r="411" spans="1:19" ht="13.5" customHeight="1">
      <c r="A411" s="400" t="s">
        <v>909</v>
      </c>
      <c r="B411" s="400"/>
      <c r="C411" s="400"/>
      <c r="D411" s="400"/>
      <c r="E411" s="400"/>
      <c r="F411" s="400"/>
      <c r="G411" s="400"/>
      <c r="H411" s="400"/>
      <c r="I411" s="400"/>
      <c r="J411" s="400"/>
      <c r="K411" s="400"/>
      <c r="L411" s="400"/>
      <c r="M411" s="400"/>
      <c r="N411" s="400"/>
      <c r="O411" s="400"/>
      <c r="P411" s="400"/>
      <c r="Q411" s="21"/>
      <c r="R411" s="21"/>
      <c r="S411" s="8"/>
    </row>
    <row r="412" spans="1:188" s="57" customFormat="1" ht="18" customHeight="1">
      <c r="A412" s="13">
        <v>44</v>
      </c>
      <c r="B412" s="92" t="s">
        <v>182</v>
      </c>
      <c r="C412" s="45"/>
      <c r="D412" s="44">
        <v>54</v>
      </c>
      <c r="E412" s="44"/>
      <c r="F412" s="44">
        <v>135</v>
      </c>
      <c r="G412" s="44">
        <v>54</v>
      </c>
      <c r="H412" s="44">
        <v>54</v>
      </c>
      <c r="I412" s="44">
        <v>54</v>
      </c>
      <c r="J412" s="44">
        <v>54</v>
      </c>
      <c r="K412" s="44">
        <v>54</v>
      </c>
      <c r="L412" s="44">
        <f>SUM(L413,L418,L421)</f>
        <v>7</v>
      </c>
      <c r="M412" s="44">
        <f>SUM(M413,M418,M421)</f>
        <v>2</v>
      </c>
      <c r="N412" s="44">
        <f>SUM(N413,N418,N421)</f>
        <v>3</v>
      </c>
      <c r="O412" s="44">
        <f>SUM(O413,O418,O421)</f>
        <v>3</v>
      </c>
      <c r="P412" s="44">
        <f>SUM(P413,P418,P421)</f>
        <v>3</v>
      </c>
      <c r="Q412" s="54" t="s">
        <v>648</v>
      </c>
      <c r="R412" s="54">
        <v>15</v>
      </c>
      <c r="S412" s="55" t="s">
        <v>905</v>
      </c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  <c r="BM412" s="56"/>
      <c r="BN412" s="56"/>
      <c r="BO412" s="56"/>
      <c r="BP412" s="56"/>
      <c r="BQ412" s="56"/>
      <c r="BR412" s="56"/>
      <c r="BS412" s="56"/>
      <c r="BT412" s="56"/>
      <c r="BU412" s="56"/>
      <c r="BV412" s="56"/>
      <c r="BW412" s="56"/>
      <c r="BX412" s="56"/>
      <c r="BY412" s="56"/>
      <c r="BZ412" s="56"/>
      <c r="CA412" s="56"/>
      <c r="CB412" s="56"/>
      <c r="CC412" s="56"/>
      <c r="CD412" s="56"/>
      <c r="CE412" s="56"/>
      <c r="CF412" s="56"/>
      <c r="CG412" s="56"/>
      <c r="CH412" s="56"/>
      <c r="CI412" s="56"/>
      <c r="CJ412" s="56"/>
      <c r="CK412" s="56"/>
      <c r="CL412" s="56"/>
      <c r="CM412" s="56"/>
      <c r="CN412" s="56"/>
      <c r="CO412" s="56"/>
      <c r="CP412" s="56"/>
      <c r="CQ412" s="56"/>
      <c r="CR412" s="56"/>
      <c r="CS412" s="56"/>
      <c r="CT412" s="56"/>
      <c r="CU412" s="56"/>
      <c r="CV412" s="56"/>
      <c r="CW412" s="56"/>
      <c r="CX412" s="56"/>
      <c r="CY412" s="56"/>
      <c r="CZ412" s="56"/>
      <c r="DA412" s="56"/>
      <c r="DB412" s="56"/>
      <c r="DC412" s="56"/>
      <c r="DD412" s="56"/>
      <c r="DE412" s="56"/>
      <c r="DF412" s="56"/>
      <c r="DG412" s="56"/>
      <c r="DH412" s="56"/>
      <c r="DI412" s="56"/>
      <c r="DJ412" s="56"/>
      <c r="DK412" s="56"/>
      <c r="DL412" s="56"/>
      <c r="DM412" s="56"/>
      <c r="DN412" s="56"/>
      <c r="DO412" s="56"/>
      <c r="DP412" s="56"/>
      <c r="DQ412" s="56"/>
      <c r="DR412" s="56"/>
      <c r="DS412" s="56"/>
      <c r="DT412" s="56"/>
      <c r="DU412" s="56"/>
      <c r="DV412" s="56"/>
      <c r="DW412" s="56"/>
      <c r="DX412" s="56"/>
      <c r="DY412" s="56"/>
      <c r="DZ412" s="56"/>
      <c r="EA412" s="56"/>
      <c r="EB412" s="56"/>
      <c r="EC412" s="56"/>
      <c r="ED412" s="56"/>
      <c r="EE412" s="56"/>
      <c r="EF412" s="56"/>
      <c r="EG412" s="56"/>
      <c r="EH412" s="56"/>
      <c r="EI412" s="56"/>
      <c r="EJ412" s="56"/>
      <c r="EK412" s="56"/>
      <c r="EL412" s="56"/>
      <c r="EM412" s="56"/>
      <c r="EN412" s="56"/>
      <c r="EO412" s="56"/>
      <c r="EP412" s="56"/>
      <c r="EQ412" s="56"/>
      <c r="ER412" s="56"/>
      <c r="ES412" s="56"/>
      <c r="ET412" s="56"/>
      <c r="EU412" s="56"/>
      <c r="EV412" s="56"/>
      <c r="EW412" s="56"/>
      <c r="EX412" s="56"/>
      <c r="EY412" s="56"/>
      <c r="EZ412" s="56"/>
      <c r="FA412" s="56"/>
      <c r="FB412" s="56"/>
      <c r="FC412" s="56"/>
      <c r="FD412" s="56"/>
      <c r="FE412" s="56"/>
      <c r="FF412" s="56"/>
      <c r="FG412" s="56"/>
      <c r="FH412" s="56"/>
      <c r="FI412" s="56"/>
      <c r="FJ412" s="56"/>
      <c r="FK412" s="56"/>
      <c r="FL412" s="56"/>
      <c r="FM412" s="56"/>
      <c r="FN412" s="56"/>
      <c r="FO412" s="56"/>
      <c r="FP412" s="56"/>
      <c r="FQ412" s="56"/>
      <c r="FR412" s="56"/>
      <c r="FS412" s="56"/>
      <c r="FT412" s="56"/>
      <c r="FU412" s="56"/>
      <c r="FV412" s="56"/>
      <c r="FW412" s="56"/>
      <c r="FX412" s="56"/>
      <c r="FY412" s="56"/>
      <c r="FZ412" s="56"/>
      <c r="GA412" s="56"/>
      <c r="GB412" s="56"/>
      <c r="GC412" s="56"/>
      <c r="GD412" s="56"/>
      <c r="GE412" s="56"/>
      <c r="GF412" s="56"/>
    </row>
    <row r="413" spans="1:48" s="18" customFormat="1" ht="16.5" customHeight="1">
      <c r="A413" s="50"/>
      <c r="B413" s="93" t="s">
        <v>669</v>
      </c>
      <c r="C413" s="16"/>
      <c r="D413" s="52"/>
      <c r="E413" s="52"/>
      <c r="F413" s="52"/>
      <c r="G413" s="52"/>
      <c r="H413" s="52"/>
      <c r="I413" s="52"/>
      <c r="J413" s="52"/>
      <c r="K413" s="52"/>
      <c r="L413" s="60">
        <f>SUM(L414:L417)</f>
        <v>1</v>
      </c>
      <c r="M413" s="60">
        <f aca="true" t="shared" si="10" ref="M413:S413">SUM(M414:M417)</f>
        <v>2</v>
      </c>
      <c r="N413" s="60">
        <f t="shared" si="10"/>
        <v>2</v>
      </c>
      <c r="O413" s="60">
        <f t="shared" si="10"/>
        <v>2</v>
      </c>
      <c r="P413" s="60">
        <f t="shared" si="10"/>
        <v>2</v>
      </c>
      <c r="Q413" s="256">
        <f t="shared" si="10"/>
        <v>0</v>
      </c>
      <c r="R413" s="100">
        <f t="shared" si="10"/>
        <v>0</v>
      </c>
      <c r="S413" s="100">
        <f t="shared" si="10"/>
        <v>0</v>
      </c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</row>
    <row r="414" spans="1:48" s="27" customFormat="1" ht="15.75" customHeight="1">
      <c r="A414" s="12"/>
      <c r="B414" s="97" t="s">
        <v>1049</v>
      </c>
      <c r="C414" s="29" t="s">
        <v>1050</v>
      </c>
      <c r="D414" s="51"/>
      <c r="E414" s="51"/>
      <c r="F414" s="51">
        <v>15</v>
      </c>
      <c r="G414" s="51">
        <v>3</v>
      </c>
      <c r="H414" s="51">
        <v>3</v>
      </c>
      <c r="I414" s="51">
        <v>3</v>
      </c>
      <c r="J414" s="51">
        <v>3</v>
      </c>
      <c r="K414" s="51">
        <v>3</v>
      </c>
      <c r="L414" s="40" t="s">
        <v>556</v>
      </c>
      <c r="M414" s="40" t="s">
        <v>556</v>
      </c>
      <c r="N414" s="40" t="s">
        <v>556</v>
      </c>
      <c r="O414" s="40">
        <v>1</v>
      </c>
      <c r="P414" s="40">
        <v>1</v>
      </c>
      <c r="Q414" s="33"/>
      <c r="R414" s="28"/>
      <c r="S414" s="2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</row>
    <row r="415" spans="1:48" s="27" customFormat="1" ht="15.75" customHeight="1">
      <c r="A415" s="12"/>
      <c r="B415" s="97" t="s">
        <v>1047</v>
      </c>
      <c r="C415" s="29" t="s">
        <v>1048</v>
      </c>
      <c r="D415" s="51"/>
      <c r="E415" s="51"/>
      <c r="F415" s="51">
        <v>25</v>
      </c>
      <c r="G415" s="51">
        <v>6</v>
      </c>
      <c r="H415" s="51">
        <v>6</v>
      </c>
      <c r="I415" s="51">
        <v>6</v>
      </c>
      <c r="J415" s="51">
        <v>6</v>
      </c>
      <c r="K415" s="51">
        <v>6</v>
      </c>
      <c r="L415" s="40" t="s">
        <v>556</v>
      </c>
      <c r="M415" s="40" t="s">
        <v>556</v>
      </c>
      <c r="N415" s="40">
        <v>1</v>
      </c>
      <c r="O415" s="40">
        <v>1</v>
      </c>
      <c r="P415" s="40" t="s">
        <v>556</v>
      </c>
      <c r="Q415" s="33" t="s">
        <v>556</v>
      </c>
      <c r="R415" s="28" t="s">
        <v>556</v>
      </c>
      <c r="S415" s="28" t="s">
        <v>556</v>
      </c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</row>
    <row r="416" spans="1:48" s="27" customFormat="1" ht="15.75" customHeight="1">
      <c r="A416" s="12"/>
      <c r="B416" s="97" t="s">
        <v>594</v>
      </c>
      <c r="C416" s="29" t="s">
        <v>783</v>
      </c>
      <c r="D416" s="51"/>
      <c r="E416" s="51"/>
      <c r="F416" s="51">
        <v>18</v>
      </c>
      <c r="G416" s="51">
        <v>12</v>
      </c>
      <c r="H416" s="51">
        <v>12</v>
      </c>
      <c r="I416" s="51">
        <v>12</v>
      </c>
      <c r="J416" s="51">
        <v>12</v>
      </c>
      <c r="K416" s="51">
        <v>12</v>
      </c>
      <c r="L416" s="40">
        <v>1</v>
      </c>
      <c r="M416" s="40">
        <v>2</v>
      </c>
      <c r="N416" s="40" t="s">
        <v>556</v>
      </c>
      <c r="O416" s="40" t="s">
        <v>556</v>
      </c>
      <c r="P416" s="40">
        <v>1</v>
      </c>
      <c r="Q416" s="33" t="s">
        <v>556</v>
      </c>
      <c r="R416" s="28" t="s">
        <v>556</v>
      </c>
      <c r="S416" s="28" t="s">
        <v>556</v>
      </c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</row>
    <row r="417" spans="1:48" s="27" customFormat="1" ht="15.75" customHeight="1">
      <c r="A417" s="12"/>
      <c r="B417" s="97" t="s">
        <v>560</v>
      </c>
      <c r="C417" s="29" t="s">
        <v>741</v>
      </c>
      <c r="D417" s="51"/>
      <c r="E417" s="51"/>
      <c r="F417" s="51">
        <v>8</v>
      </c>
      <c r="G417" s="51">
        <v>4</v>
      </c>
      <c r="H417" s="51">
        <v>4</v>
      </c>
      <c r="I417" s="51">
        <v>4</v>
      </c>
      <c r="J417" s="51">
        <v>4</v>
      </c>
      <c r="K417" s="51">
        <v>4</v>
      </c>
      <c r="L417" s="40" t="s">
        <v>556</v>
      </c>
      <c r="M417" s="40" t="s">
        <v>556</v>
      </c>
      <c r="N417" s="40">
        <v>1</v>
      </c>
      <c r="O417" s="40" t="s">
        <v>556</v>
      </c>
      <c r="P417" s="40" t="s">
        <v>556</v>
      </c>
      <c r="Q417" s="33"/>
      <c r="R417" s="28"/>
      <c r="S417" s="2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</row>
    <row r="418" spans="1:48" s="18" customFormat="1" ht="16.5" customHeight="1">
      <c r="A418" s="50"/>
      <c r="B418" s="93" t="s">
        <v>670</v>
      </c>
      <c r="C418" s="16"/>
      <c r="D418" s="52"/>
      <c r="E418" s="51"/>
      <c r="F418" s="51"/>
      <c r="G418" s="51"/>
      <c r="H418" s="51"/>
      <c r="I418" s="51"/>
      <c r="J418" s="51"/>
      <c r="K418" s="51"/>
      <c r="L418" s="60">
        <f>SUM(L419:L420)</f>
        <v>4</v>
      </c>
      <c r="M418" s="60" t="s">
        <v>556</v>
      </c>
      <c r="N418" s="60">
        <f>SUM(N419:N420)</f>
        <v>1</v>
      </c>
      <c r="O418" s="60" t="s">
        <v>556</v>
      </c>
      <c r="P418" s="60">
        <f>SUM(P419:P420)</f>
        <v>1</v>
      </c>
      <c r="Q418" s="255"/>
      <c r="R418" s="29"/>
      <c r="S418" s="29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</row>
    <row r="419" spans="1:48" s="27" customFormat="1" ht="18.75" customHeight="1">
      <c r="A419" s="12"/>
      <c r="B419" s="97" t="s">
        <v>744</v>
      </c>
      <c r="C419" s="29" t="s">
        <v>745</v>
      </c>
      <c r="D419" s="51"/>
      <c r="E419" s="51"/>
      <c r="F419" s="51">
        <v>1</v>
      </c>
      <c r="G419" s="51">
        <v>1</v>
      </c>
      <c r="H419" s="51">
        <v>1</v>
      </c>
      <c r="I419" s="51">
        <v>1</v>
      </c>
      <c r="J419" s="51">
        <v>1</v>
      </c>
      <c r="K419" s="51">
        <v>1</v>
      </c>
      <c r="L419" s="40">
        <v>1</v>
      </c>
      <c r="M419" s="40" t="s">
        <v>556</v>
      </c>
      <c r="N419" s="40" t="s">
        <v>556</v>
      </c>
      <c r="O419" s="40" t="s">
        <v>556</v>
      </c>
      <c r="P419" s="40">
        <v>1</v>
      </c>
      <c r="Q419" s="38"/>
      <c r="R419" s="38"/>
      <c r="S419" s="3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</row>
    <row r="420" spans="1:48" s="27" customFormat="1" ht="18.75" customHeight="1">
      <c r="A420" s="12"/>
      <c r="B420" s="97" t="s">
        <v>566</v>
      </c>
      <c r="C420" s="29" t="s">
        <v>567</v>
      </c>
      <c r="D420" s="51"/>
      <c r="E420" s="51"/>
      <c r="F420" s="51">
        <v>4</v>
      </c>
      <c r="G420" s="51">
        <v>3</v>
      </c>
      <c r="H420" s="51">
        <v>3</v>
      </c>
      <c r="I420" s="51">
        <v>3</v>
      </c>
      <c r="J420" s="51">
        <v>3</v>
      </c>
      <c r="K420" s="51">
        <v>3</v>
      </c>
      <c r="L420" s="40">
        <v>3</v>
      </c>
      <c r="M420" s="40" t="s">
        <v>556</v>
      </c>
      <c r="N420" s="40">
        <v>1</v>
      </c>
      <c r="O420" s="40" t="s">
        <v>556</v>
      </c>
      <c r="P420" s="40" t="s">
        <v>556</v>
      </c>
      <c r="Q420" s="38"/>
      <c r="R420" s="38"/>
      <c r="S420" s="3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</row>
    <row r="421" spans="1:48" s="18" customFormat="1" ht="17.25" customHeight="1">
      <c r="A421" s="50"/>
      <c r="B421" s="93" t="s">
        <v>37</v>
      </c>
      <c r="C421" s="16"/>
      <c r="D421" s="52"/>
      <c r="E421" s="51"/>
      <c r="F421" s="51"/>
      <c r="G421" s="51"/>
      <c r="H421" s="51"/>
      <c r="I421" s="51"/>
      <c r="J421" s="51"/>
      <c r="K421" s="51"/>
      <c r="L421" s="60">
        <f>SUM(L422:L423)</f>
        <v>2</v>
      </c>
      <c r="M421" s="60" t="s">
        <v>556</v>
      </c>
      <c r="N421" s="60" t="s">
        <v>556</v>
      </c>
      <c r="O421" s="60">
        <f>SUM(O422:O423)</f>
        <v>1</v>
      </c>
      <c r="P421" s="60" t="s">
        <v>556</v>
      </c>
      <c r="Q421" s="255"/>
      <c r="R421" s="29"/>
      <c r="S421" s="29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</row>
    <row r="422" spans="1:48" s="27" customFormat="1" ht="32.25" customHeight="1">
      <c r="A422" s="12"/>
      <c r="B422" s="97" t="s">
        <v>746</v>
      </c>
      <c r="C422" s="29" t="s">
        <v>747</v>
      </c>
      <c r="D422" s="51"/>
      <c r="E422" s="51"/>
      <c r="F422" s="51">
        <v>6</v>
      </c>
      <c r="G422" s="51">
        <v>1</v>
      </c>
      <c r="H422" s="51">
        <v>1</v>
      </c>
      <c r="I422" s="51">
        <v>1</v>
      </c>
      <c r="J422" s="51">
        <v>1</v>
      </c>
      <c r="K422" s="51">
        <v>1</v>
      </c>
      <c r="L422" s="40">
        <v>1</v>
      </c>
      <c r="M422" s="40" t="s">
        <v>556</v>
      </c>
      <c r="N422" s="40" t="s">
        <v>556</v>
      </c>
      <c r="O422" s="40" t="s">
        <v>556</v>
      </c>
      <c r="P422" s="40" t="s">
        <v>556</v>
      </c>
      <c r="Q422" s="38"/>
      <c r="R422" s="38"/>
      <c r="S422" s="3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</row>
    <row r="423" spans="1:48" s="27" customFormat="1" ht="18.75" customHeight="1">
      <c r="A423" s="12"/>
      <c r="B423" s="97" t="s">
        <v>38</v>
      </c>
      <c r="C423" s="65" t="s">
        <v>457</v>
      </c>
      <c r="D423" s="51"/>
      <c r="E423" s="51"/>
      <c r="F423" s="51"/>
      <c r="G423" s="51">
        <v>1</v>
      </c>
      <c r="H423" s="51">
        <v>1</v>
      </c>
      <c r="I423" s="51">
        <v>1</v>
      </c>
      <c r="J423" s="51">
        <v>1</v>
      </c>
      <c r="K423" s="51">
        <v>1</v>
      </c>
      <c r="L423" s="40">
        <v>1</v>
      </c>
      <c r="M423" s="40" t="s">
        <v>556</v>
      </c>
      <c r="N423" s="40" t="s">
        <v>556</v>
      </c>
      <c r="O423" s="40">
        <v>1</v>
      </c>
      <c r="P423" s="40" t="s">
        <v>556</v>
      </c>
      <c r="Q423" s="38"/>
      <c r="R423" s="38"/>
      <c r="S423" s="3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</row>
    <row r="424" spans="1:188" s="57" customFormat="1" ht="18" customHeight="1">
      <c r="A424" s="13">
        <v>45</v>
      </c>
      <c r="B424" s="92" t="s">
        <v>479</v>
      </c>
      <c r="C424" s="45"/>
      <c r="D424" s="44">
        <v>97</v>
      </c>
      <c r="E424" s="44"/>
      <c r="F424" s="44">
        <v>135</v>
      </c>
      <c r="G424" s="44">
        <v>97</v>
      </c>
      <c r="H424" s="44">
        <v>97</v>
      </c>
      <c r="I424" s="44">
        <v>97</v>
      </c>
      <c r="J424" s="44">
        <v>97</v>
      </c>
      <c r="K424" s="44">
        <v>97</v>
      </c>
      <c r="L424" s="44">
        <v>1</v>
      </c>
      <c r="M424" s="44">
        <v>1</v>
      </c>
      <c r="N424" s="44">
        <v>2</v>
      </c>
      <c r="O424" s="44">
        <v>3</v>
      </c>
      <c r="P424" s="44">
        <v>4</v>
      </c>
      <c r="Q424" s="54" t="s">
        <v>648</v>
      </c>
      <c r="R424" s="54">
        <v>15</v>
      </c>
      <c r="S424" s="55" t="s">
        <v>905</v>
      </c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  <c r="BL424" s="56"/>
      <c r="BM424" s="56"/>
      <c r="BN424" s="56"/>
      <c r="BO424" s="56"/>
      <c r="BP424" s="56"/>
      <c r="BQ424" s="56"/>
      <c r="BR424" s="56"/>
      <c r="BS424" s="56"/>
      <c r="BT424" s="56"/>
      <c r="BU424" s="56"/>
      <c r="BV424" s="56"/>
      <c r="BW424" s="56"/>
      <c r="BX424" s="56"/>
      <c r="BY424" s="56"/>
      <c r="BZ424" s="56"/>
      <c r="CA424" s="56"/>
      <c r="CB424" s="56"/>
      <c r="CC424" s="56"/>
      <c r="CD424" s="56"/>
      <c r="CE424" s="56"/>
      <c r="CF424" s="56"/>
      <c r="CG424" s="56"/>
      <c r="CH424" s="56"/>
      <c r="CI424" s="56"/>
      <c r="CJ424" s="56"/>
      <c r="CK424" s="56"/>
      <c r="CL424" s="56"/>
      <c r="CM424" s="56"/>
      <c r="CN424" s="56"/>
      <c r="CO424" s="56"/>
      <c r="CP424" s="56"/>
      <c r="CQ424" s="56"/>
      <c r="CR424" s="56"/>
      <c r="CS424" s="56"/>
      <c r="CT424" s="56"/>
      <c r="CU424" s="56"/>
      <c r="CV424" s="56"/>
      <c r="CW424" s="56"/>
      <c r="CX424" s="56"/>
      <c r="CY424" s="56"/>
      <c r="CZ424" s="56"/>
      <c r="DA424" s="56"/>
      <c r="DB424" s="56"/>
      <c r="DC424" s="56"/>
      <c r="DD424" s="56"/>
      <c r="DE424" s="56"/>
      <c r="DF424" s="56"/>
      <c r="DG424" s="56"/>
      <c r="DH424" s="56"/>
      <c r="DI424" s="56"/>
      <c r="DJ424" s="56"/>
      <c r="DK424" s="56"/>
      <c r="DL424" s="56"/>
      <c r="DM424" s="56"/>
      <c r="DN424" s="56"/>
      <c r="DO424" s="56"/>
      <c r="DP424" s="56"/>
      <c r="DQ424" s="56"/>
      <c r="DR424" s="56"/>
      <c r="DS424" s="56"/>
      <c r="DT424" s="56"/>
      <c r="DU424" s="56"/>
      <c r="DV424" s="56"/>
      <c r="DW424" s="56"/>
      <c r="DX424" s="56"/>
      <c r="DY424" s="56"/>
      <c r="DZ424" s="56"/>
      <c r="EA424" s="56"/>
      <c r="EB424" s="56"/>
      <c r="EC424" s="56"/>
      <c r="ED424" s="56"/>
      <c r="EE424" s="56"/>
      <c r="EF424" s="56"/>
      <c r="EG424" s="56"/>
      <c r="EH424" s="56"/>
      <c r="EI424" s="56"/>
      <c r="EJ424" s="56"/>
      <c r="EK424" s="56"/>
      <c r="EL424" s="56"/>
      <c r="EM424" s="56"/>
      <c r="EN424" s="56"/>
      <c r="EO424" s="56"/>
      <c r="EP424" s="56"/>
      <c r="EQ424" s="56"/>
      <c r="ER424" s="56"/>
      <c r="ES424" s="56"/>
      <c r="ET424" s="56"/>
      <c r="EU424" s="56"/>
      <c r="EV424" s="56"/>
      <c r="EW424" s="56"/>
      <c r="EX424" s="56"/>
      <c r="EY424" s="56"/>
      <c r="EZ424" s="56"/>
      <c r="FA424" s="56"/>
      <c r="FB424" s="56"/>
      <c r="FC424" s="56"/>
      <c r="FD424" s="56"/>
      <c r="FE424" s="56"/>
      <c r="FF424" s="56"/>
      <c r="FG424" s="56"/>
      <c r="FH424" s="56"/>
      <c r="FI424" s="56"/>
      <c r="FJ424" s="56"/>
      <c r="FK424" s="56"/>
      <c r="FL424" s="56"/>
      <c r="FM424" s="56"/>
      <c r="FN424" s="56"/>
      <c r="FO424" s="56"/>
      <c r="FP424" s="56"/>
      <c r="FQ424" s="56"/>
      <c r="FR424" s="56"/>
      <c r="FS424" s="56"/>
      <c r="FT424" s="56"/>
      <c r="FU424" s="56"/>
      <c r="FV424" s="56"/>
      <c r="FW424" s="56"/>
      <c r="FX424" s="56"/>
      <c r="FY424" s="56"/>
      <c r="FZ424" s="56"/>
      <c r="GA424" s="56"/>
      <c r="GB424" s="56"/>
      <c r="GC424" s="56"/>
      <c r="GD424" s="56"/>
      <c r="GE424" s="56"/>
      <c r="GF424" s="56"/>
    </row>
    <row r="425" spans="1:48" s="18" customFormat="1" ht="17.25" customHeight="1">
      <c r="A425" s="50"/>
      <c r="B425" s="93" t="s">
        <v>669</v>
      </c>
      <c r="C425" s="16"/>
      <c r="D425" s="52"/>
      <c r="E425" s="52"/>
      <c r="F425" s="52"/>
      <c r="G425" s="52"/>
      <c r="H425" s="52"/>
      <c r="I425" s="52"/>
      <c r="J425" s="52"/>
      <c r="K425" s="52"/>
      <c r="L425" s="60">
        <f aca="true" t="shared" si="11" ref="L425:S425">SUM(L426:L430)</f>
        <v>1</v>
      </c>
      <c r="M425" s="60">
        <f t="shared" si="11"/>
        <v>1</v>
      </c>
      <c r="N425" s="60">
        <f t="shared" si="11"/>
        <v>2</v>
      </c>
      <c r="O425" s="60">
        <f t="shared" si="11"/>
        <v>2</v>
      </c>
      <c r="P425" s="60">
        <f t="shared" si="11"/>
        <v>4</v>
      </c>
      <c r="Q425" s="256">
        <f t="shared" si="11"/>
        <v>0</v>
      </c>
      <c r="R425" s="100">
        <f t="shared" si="11"/>
        <v>0</v>
      </c>
      <c r="S425" s="100">
        <f t="shared" si="11"/>
        <v>0</v>
      </c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</row>
    <row r="426" spans="1:48" s="27" customFormat="1" ht="15.75" customHeight="1">
      <c r="A426" s="12"/>
      <c r="B426" s="97" t="s">
        <v>1049</v>
      </c>
      <c r="C426" s="29" t="s">
        <v>1050</v>
      </c>
      <c r="D426" s="51"/>
      <c r="E426" s="51"/>
      <c r="F426" s="51">
        <v>15</v>
      </c>
      <c r="G426" s="51">
        <v>7</v>
      </c>
      <c r="H426" s="51">
        <v>7</v>
      </c>
      <c r="I426" s="51">
        <v>7</v>
      </c>
      <c r="J426" s="51">
        <v>7</v>
      </c>
      <c r="K426" s="51">
        <v>7</v>
      </c>
      <c r="L426" s="40" t="s">
        <v>556</v>
      </c>
      <c r="M426" s="40" t="s">
        <v>556</v>
      </c>
      <c r="N426" s="40" t="s">
        <v>556</v>
      </c>
      <c r="O426" s="40" t="s">
        <v>556</v>
      </c>
      <c r="P426" s="40">
        <v>1</v>
      </c>
      <c r="Q426" s="33"/>
      <c r="R426" s="28"/>
      <c r="S426" s="2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</row>
    <row r="427" spans="1:48" s="27" customFormat="1" ht="15.75" customHeight="1">
      <c r="A427" s="12"/>
      <c r="B427" s="97" t="s">
        <v>1047</v>
      </c>
      <c r="C427" s="29" t="s">
        <v>1048</v>
      </c>
      <c r="D427" s="51"/>
      <c r="E427" s="51"/>
      <c r="F427" s="51">
        <v>25</v>
      </c>
      <c r="G427" s="51">
        <v>6</v>
      </c>
      <c r="H427" s="51">
        <v>6</v>
      </c>
      <c r="I427" s="51">
        <v>6</v>
      </c>
      <c r="J427" s="51">
        <v>6</v>
      </c>
      <c r="K427" s="51">
        <v>6</v>
      </c>
      <c r="L427" s="40" t="s">
        <v>556</v>
      </c>
      <c r="M427" s="40" t="s">
        <v>556</v>
      </c>
      <c r="N427" s="40" t="s">
        <v>556</v>
      </c>
      <c r="O427" s="40">
        <v>1</v>
      </c>
      <c r="P427" s="40">
        <v>1</v>
      </c>
      <c r="Q427" s="33" t="s">
        <v>556</v>
      </c>
      <c r="R427" s="28" t="s">
        <v>556</v>
      </c>
      <c r="S427" s="28" t="s">
        <v>556</v>
      </c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</row>
    <row r="428" spans="1:48" s="27" customFormat="1" ht="15.75" customHeight="1">
      <c r="A428" s="12"/>
      <c r="B428" s="97" t="s">
        <v>594</v>
      </c>
      <c r="C428" s="29" t="s">
        <v>783</v>
      </c>
      <c r="D428" s="51"/>
      <c r="E428" s="51"/>
      <c r="F428" s="51">
        <v>18</v>
      </c>
      <c r="G428" s="51">
        <v>15</v>
      </c>
      <c r="H428" s="51">
        <v>15</v>
      </c>
      <c r="I428" s="51">
        <v>15</v>
      </c>
      <c r="J428" s="51">
        <v>15</v>
      </c>
      <c r="K428" s="51">
        <v>15</v>
      </c>
      <c r="L428" s="40" t="s">
        <v>556</v>
      </c>
      <c r="M428" s="40" t="s">
        <v>556</v>
      </c>
      <c r="N428" s="40">
        <v>1</v>
      </c>
      <c r="O428" s="40" t="s">
        <v>556</v>
      </c>
      <c r="P428" s="40">
        <v>1</v>
      </c>
      <c r="Q428" s="33" t="s">
        <v>556</v>
      </c>
      <c r="R428" s="28" t="s">
        <v>556</v>
      </c>
      <c r="S428" s="28" t="s">
        <v>556</v>
      </c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</row>
    <row r="429" spans="1:48" s="27" customFormat="1" ht="17.25" customHeight="1">
      <c r="A429" s="12"/>
      <c r="B429" s="97" t="s">
        <v>448</v>
      </c>
      <c r="C429" s="29" t="s">
        <v>449</v>
      </c>
      <c r="D429" s="51"/>
      <c r="E429" s="51"/>
      <c r="F429" s="51"/>
      <c r="G429" s="51">
        <v>8</v>
      </c>
      <c r="H429" s="51">
        <v>8</v>
      </c>
      <c r="I429" s="51">
        <v>8</v>
      </c>
      <c r="J429" s="51">
        <v>8</v>
      </c>
      <c r="K429" s="51">
        <v>8</v>
      </c>
      <c r="L429" s="40" t="s">
        <v>556</v>
      </c>
      <c r="M429" s="40" t="s">
        <v>556</v>
      </c>
      <c r="N429" s="40">
        <v>1</v>
      </c>
      <c r="O429" s="40">
        <v>1</v>
      </c>
      <c r="P429" s="40" t="s">
        <v>556</v>
      </c>
      <c r="Q429" s="33"/>
      <c r="R429" s="28"/>
      <c r="S429" s="2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</row>
    <row r="430" spans="1:48" s="27" customFormat="1" ht="15.75" customHeight="1">
      <c r="A430" s="12"/>
      <c r="B430" s="97" t="s">
        <v>560</v>
      </c>
      <c r="C430" s="29" t="s">
        <v>741</v>
      </c>
      <c r="D430" s="51"/>
      <c r="E430" s="51"/>
      <c r="F430" s="51">
        <v>8</v>
      </c>
      <c r="G430" s="51">
        <v>10</v>
      </c>
      <c r="H430" s="51">
        <v>10</v>
      </c>
      <c r="I430" s="51">
        <v>10</v>
      </c>
      <c r="J430" s="51">
        <v>10</v>
      </c>
      <c r="K430" s="51">
        <v>10</v>
      </c>
      <c r="L430" s="40">
        <v>1</v>
      </c>
      <c r="M430" s="40">
        <v>1</v>
      </c>
      <c r="N430" s="40" t="s">
        <v>556</v>
      </c>
      <c r="O430" s="40" t="s">
        <v>556</v>
      </c>
      <c r="P430" s="40">
        <v>1</v>
      </c>
      <c r="Q430" s="33"/>
      <c r="R430" s="28"/>
      <c r="S430" s="2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</row>
    <row r="431" spans="1:48" s="18" customFormat="1" ht="16.5" customHeight="1">
      <c r="A431" s="50"/>
      <c r="B431" s="93" t="s">
        <v>670</v>
      </c>
      <c r="C431" s="16"/>
      <c r="D431" s="52"/>
      <c r="E431" s="51"/>
      <c r="F431" s="51"/>
      <c r="G431" s="51"/>
      <c r="H431" s="51"/>
      <c r="I431" s="51"/>
      <c r="J431" s="51"/>
      <c r="K431" s="51"/>
      <c r="L431" s="60" t="str">
        <f>L432</f>
        <v> -</v>
      </c>
      <c r="M431" s="60" t="str">
        <f>M432</f>
        <v> -</v>
      </c>
      <c r="N431" s="60" t="str">
        <f>N432</f>
        <v> -</v>
      </c>
      <c r="O431" s="60">
        <f>O432</f>
        <v>1</v>
      </c>
      <c r="P431" s="60" t="str">
        <f>P432</f>
        <v> -</v>
      </c>
      <c r="Q431" s="255"/>
      <c r="R431" s="29"/>
      <c r="S431" s="29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</row>
    <row r="432" spans="1:48" s="27" customFormat="1" ht="18.75" customHeight="1">
      <c r="A432" s="12"/>
      <c r="B432" s="97" t="s">
        <v>640</v>
      </c>
      <c r="C432" s="15" t="s">
        <v>641</v>
      </c>
      <c r="D432" s="51"/>
      <c r="E432" s="51"/>
      <c r="F432" s="51">
        <v>4</v>
      </c>
      <c r="G432" s="51">
        <v>1</v>
      </c>
      <c r="H432" s="51">
        <v>1</v>
      </c>
      <c r="I432" s="51">
        <v>1</v>
      </c>
      <c r="J432" s="51">
        <v>1</v>
      </c>
      <c r="K432" s="51">
        <v>1</v>
      </c>
      <c r="L432" s="40" t="s">
        <v>556</v>
      </c>
      <c r="M432" s="40" t="s">
        <v>556</v>
      </c>
      <c r="N432" s="40" t="s">
        <v>556</v>
      </c>
      <c r="O432" s="40">
        <v>1</v>
      </c>
      <c r="P432" s="40" t="s">
        <v>556</v>
      </c>
      <c r="Q432" s="38"/>
      <c r="R432" s="38"/>
      <c r="S432" s="3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</row>
    <row r="433" spans="1:188" s="57" customFormat="1" ht="18" customHeight="1">
      <c r="A433" s="13">
        <v>46</v>
      </c>
      <c r="B433" s="92" t="s">
        <v>480</v>
      </c>
      <c r="C433" s="45"/>
      <c r="D433" s="44">
        <v>21</v>
      </c>
      <c r="E433" s="44"/>
      <c r="F433" s="44">
        <v>135</v>
      </c>
      <c r="G433" s="44">
        <v>21</v>
      </c>
      <c r="H433" s="44">
        <v>21</v>
      </c>
      <c r="I433" s="44">
        <v>21</v>
      </c>
      <c r="J433" s="44">
        <v>21</v>
      </c>
      <c r="K433" s="44">
        <v>21</v>
      </c>
      <c r="L433" s="44">
        <v>2</v>
      </c>
      <c r="M433" s="44">
        <v>2</v>
      </c>
      <c r="N433" s="44">
        <v>1</v>
      </c>
      <c r="O433" s="44" t="s">
        <v>556</v>
      </c>
      <c r="P433" s="44">
        <v>2</v>
      </c>
      <c r="Q433" s="54" t="s">
        <v>648</v>
      </c>
      <c r="R433" s="54">
        <v>15</v>
      </c>
      <c r="S433" s="55" t="s">
        <v>905</v>
      </c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  <c r="BM433" s="56"/>
      <c r="BN433" s="56"/>
      <c r="BO433" s="56"/>
      <c r="BP433" s="56"/>
      <c r="BQ433" s="56"/>
      <c r="BR433" s="56"/>
      <c r="BS433" s="56"/>
      <c r="BT433" s="56"/>
      <c r="BU433" s="56"/>
      <c r="BV433" s="56"/>
      <c r="BW433" s="56"/>
      <c r="BX433" s="56"/>
      <c r="BY433" s="56"/>
      <c r="BZ433" s="56"/>
      <c r="CA433" s="56"/>
      <c r="CB433" s="56"/>
      <c r="CC433" s="56"/>
      <c r="CD433" s="56"/>
      <c r="CE433" s="56"/>
      <c r="CF433" s="56"/>
      <c r="CG433" s="56"/>
      <c r="CH433" s="56"/>
      <c r="CI433" s="56"/>
      <c r="CJ433" s="56"/>
      <c r="CK433" s="56"/>
      <c r="CL433" s="56"/>
      <c r="CM433" s="56"/>
      <c r="CN433" s="56"/>
      <c r="CO433" s="56"/>
      <c r="CP433" s="56"/>
      <c r="CQ433" s="56"/>
      <c r="CR433" s="56"/>
      <c r="CS433" s="56"/>
      <c r="CT433" s="56"/>
      <c r="CU433" s="56"/>
      <c r="CV433" s="56"/>
      <c r="CW433" s="56"/>
      <c r="CX433" s="56"/>
      <c r="CY433" s="56"/>
      <c r="CZ433" s="56"/>
      <c r="DA433" s="56"/>
      <c r="DB433" s="56"/>
      <c r="DC433" s="56"/>
      <c r="DD433" s="56"/>
      <c r="DE433" s="56"/>
      <c r="DF433" s="56"/>
      <c r="DG433" s="56"/>
      <c r="DH433" s="56"/>
      <c r="DI433" s="56"/>
      <c r="DJ433" s="56"/>
      <c r="DK433" s="56"/>
      <c r="DL433" s="56"/>
      <c r="DM433" s="56"/>
      <c r="DN433" s="56"/>
      <c r="DO433" s="56"/>
      <c r="DP433" s="56"/>
      <c r="DQ433" s="56"/>
      <c r="DR433" s="56"/>
      <c r="DS433" s="56"/>
      <c r="DT433" s="56"/>
      <c r="DU433" s="56"/>
      <c r="DV433" s="56"/>
      <c r="DW433" s="56"/>
      <c r="DX433" s="56"/>
      <c r="DY433" s="56"/>
      <c r="DZ433" s="56"/>
      <c r="EA433" s="56"/>
      <c r="EB433" s="56"/>
      <c r="EC433" s="56"/>
      <c r="ED433" s="56"/>
      <c r="EE433" s="56"/>
      <c r="EF433" s="56"/>
      <c r="EG433" s="56"/>
      <c r="EH433" s="56"/>
      <c r="EI433" s="56"/>
      <c r="EJ433" s="56"/>
      <c r="EK433" s="56"/>
      <c r="EL433" s="56"/>
      <c r="EM433" s="56"/>
      <c r="EN433" s="56"/>
      <c r="EO433" s="56"/>
      <c r="EP433" s="56"/>
      <c r="EQ433" s="56"/>
      <c r="ER433" s="56"/>
      <c r="ES433" s="56"/>
      <c r="ET433" s="56"/>
      <c r="EU433" s="56"/>
      <c r="EV433" s="56"/>
      <c r="EW433" s="56"/>
      <c r="EX433" s="56"/>
      <c r="EY433" s="56"/>
      <c r="EZ433" s="56"/>
      <c r="FA433" s="56"/>
      <c r="FB433" s="56"/>
      <c r="FC433" s="56"/>
      <c r="FD433" s="56"/>
      <c r="FE433" s="56"/>
      <c r="FF433" s="56"/>
      <c r="FG433" s="56"/>
      <c r="FH433" s="56"/>
      <c r="FI433" s="56"/>
      <c r="FJ433" s="56"/>
      <c r="FK433" s="56"/>
      <c r="FL433" s="56"/>
      <c r="FM433" s="56"/>
      <c r="FN433" s="56"/>
      <c r="FO433" s="56"/>
      <c r="FP433" s="56"/>
      <c r="FQ433" s="56"/>
      <c r="FR433" s="56"/>
      <c r="FS433" s="56"/>
      <c r="FT433" s="56"/>
      <c r="FU433" s="56"/>
      <c r="FV433" s="56"/>
      <c r="FW433" s="56"/>
      <c r="FX433" s="56"/>
      <c r="FY433" s="56"/>
      <c r="FZ433" s="56"/>
      <c r="GA433" s="56"/>
      <c r="GB433" s="56"/>
      <c r="GC433" s="56"/>
      <c r="GD433" s="56"/>
      <c r="GE433" s="56"/>
      <c r="GF433" s="56"/>
    </row>
    <row r="434" spans="1:48" s="18" customFormat="1" ht="16.5" customHeight="1">
      <c r="A434" s="50"/>
      <c r="B434" s="93" t="s">
        <v>669</v>
      </c>
      <c r="C434" s="16"/>
      <c r="D434" s="52"/>
      <c r="E434" s="52"/>
      <c r="F434" s="52"/>
      <c r="G434" s="52"/>
      <c r="H434" s="52"/>
      <c r="I434" s="52"/>
      <c r="J434" s="52"/>
      <c r="K434" s="52"/>
      <c r="L434" s="60" t="s">
        <v>556</v>
      </c>
      <c r="M434" s="60">
        <f>SUM(M435:M437)</f>
        <v>2</v>
      </c>
      <c r="N434" s="60">
        <f>SUM(N435:N437)</f>
        <v>1</v>
      </c>
      <c r="O434" s="60" t="s">
        <v>556</v>
      </c>
      <c r="P434" s="60">
        <f>SUM(P435:P437)</f>
        <v>1</v>
      </c>
      <c r="Q434" s="256">
        <f>SUM(Q435:Q437)</f>
        <v>0</v>
      </c>
      <c r="R434" s="100">
        <f>SUM(R435:R437)</f>
        <v>0</v>
      </c>
      <c r="S434" s="100">
        <f>SUM(S435:S437)</f>
        <v>0</v>
      </c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</row>
    <row r="435" spans="1:48" s="27" customFormat="1" ht="15.75" customHeight="1">
      <c r="A435" s="12"/>
      <c r="B435" s="97" t="s">
        <v>1049</v>
      </c>
      <c r="C435" s="29" t="s">
        <v>1050</v>
      </c>
      <c r="D435" s="51"/>
      <c r="E435" s="51"/>
      <c r="F435" s="51">
        <v>15</v>
      </c>
      <c r="G435" s="51">
        <v>3</v>
      </c>
      <c r="H435" s="51">
        <v>3</v>
      </c>
      <c r="I435" s="51">
        <v>3</v>
      </c>
      <c r="J435" s="51">
        <v>3</v>
      </c>
      <c r="K435" s="51">
        <v>3</v>
      </c>
      <c r="L435" s="40" t="s">
        <v>556</v>
      </c>
      <c r="M435" s="40" t="s">
        <v>556</v>
      </c>
      <c r="N435" s="40">
        <v>1</v>
      </c>
      <c r="O435" s="40" t="s">
        <v>556</v>
      </c>
      <c r="P435" s="40" t="s">
        <v>556</v>
      </c>
      <c r="Q435" s="33"/>
      <c r="R435" s="28"/>
      <c r="S435" s="2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</row>
    <row r="436" spans="1:48" s="27" customFormat="1" ht="15.75" customHeight="1">
      <c r="A436" s="12"/>
      <c r="B436" s="97" t="s">
        <v>594</v>
      </c>
      <c r="C436" s="29" t="s">
        <v>783</v>
      </c>
      <c r="D436" s="51"/>
      <c r="E436" s="51"/>
      <c r="F436" s="51">
        <v>18</v>
      </c>
      <c r="G436" s="51">
        <v>7</v>
      </c>
      <c r="H436" s="51">
        <v>7</v>
      </c>
      <c r="I436" s="51">
        <v>7</v>
      </c>
      <c r="J436" s="51">
        <v>7</v>
      </c>
      <c r="K436" s="51">
        <v>7</v>
      </c>
      <c r="L436" s="40" t="s">
        <v>556</v>
      </c>
      <c r="M436" s="40">
        <v>1</v>
      </c>
      <c r="N436" s="40" t="s">
        <v>556</v>
      </c>
      <c r="O436" s="40" t="s">
        <v>556</v>
      </c>
      <c r="P436" s="40">
        <v>1</v>
      </c>
      <c r="Q436" s="33" t="s">
        <v>556</v>
      </c>
      <c r="R436" s="28" t="s">
        <v>556</v>
      </c>
      <c r="S436" s="28" t="s">
        <v>556</v>
      </c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</row>
    <row r="437" spans="1:48" s="27" customFormat="1" ht="15.75" customHeight="1">
      <c r="A437" s="12"/>
      <c r="B437" s="97" t="s">
        <v>560</v>
      </c>
      <c r="C437" s="29" t="s">
        <v>741</v>
      </c>
      <c r="D437" s="51"/>
      <c r="E437" s="51"/>
      <c r="F437" s="51">
        <v>8</v>
      </c>
      <c r="G437" s="51">
        <v>2</v>
      </c>
      <c r="H437" s="51">
        <v>2</v>
      </c>
      <c r="I437" s="51">
        <v>2</v>
      </c>
      <c r="J437" s="51">
        <v>2</v>
      </c>
      <c r="K437" s="51">
        <v>2</v>
      </c>
      <c r="L437" s="40" t="s">
        <v>556</v>
      </c>
      <c r="M437" s="40">
        <v>1</v>
      </c>
      <c r="N437" s="40" t="s">
        <v>556</v>
      </c>
      <c r="O437" s="40" t="s">
        <v>556</v>
      </c>
      <c r="P437" s="40" t="s">
        <v>556</v>
      </c>
      <c r="Q437" s="33"/>
      <c r="R437" s="28"/>
      <c r="S437" s="2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</row>
    <row r="438" spans="1:48" s="18" customFormat="1" ht="18.75" customHeight="1">
      <c r="A438" s="50"/>
      <c r="B438" s="93" t="s">
        <v>670</v>
      </c>
      <c r="C438" s="16"/>
      <c r="D438" s="52"/>
      <c r="E438" s="51"/>
      <c r="F438" s="51"/>
      <c r="G438" s="51"/>
      <c r="H438" s="51"/>
      <c r="I438" s="51"/>
      <c r="J438" s="51"/>
      <c r="K438" s="51"/>
      <c r="L438" s="60">
        <v>2</v>
      </c>
      <c r="M438" s="60" t="str">
        <f>M439</f>
        <v> -</v>
      </c>
      <c r="N438" s="60" t="str">
        <f>N439</f>
        <v> -</v>
      </c>
      <c r="O438" s="60" t="str">
        <f>O439</f>
        <v> -</v>
      </c>
      <c r="P438" s="60">
        <f>P439</f>
        <v>1</v>
      </c>
      <c r="Q438" s="255"/>
      <c r="R438" s="29"/>
      <c r="S438" s="29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</row>
    <row r="439" spans="1:48" s="27" customFormat="1" ht="18.75" customHeight="1">
      <c r="A439" s="12"/>
      <c r="B439" s="97" t="s">
        <v>640</v>
      </c>
      <c r="C439" s="15" t="s">
        <v>641</v>
      </c>
      <c r="D439" s="51"/>
      <c r="E439" s="51"/>
      <c r="F439" s="51">
        <v>4</v>
      </c>
      <c r="G439" s="51"/>
      <c r="H439" s="51"/>
      <c r="I439" s="51"/>
      <c r="J439" s="51"/>
      <c r="K439" s="51"/>
      <c r="L439" s="40">
        <v>1</v>
      </c>
      <c r="M439" s="40" t="s">
        <v>556</v>
      </c>
      <c r="N439" s="40" t="s">
        <v>556</v>
      </c>
      <c r="O439" s="40" t="s">
        <v>556</v>
      </c>
      <c r="P439" s="40">
        <v>1</v>
      </c>
      <c r="Q439" s="38"/>
      <c r="R439" s="38"/>
      <c r="S439" s="3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</row>
    <row r="440" spans="1:48" s="27" customFormat="1" ht="18.75" customHeight="1">
      <c r="A440" s="12"/>
      <c r="B440" s="97" t="s">
        <v>566</v>
      </c>
      <c r="C440" s="15" t="s">
        <v>567</v>
      </c>
      <c r="D440" s="51"/>
      <c r="E440" s="51"/>
      <c r="F440" s="51"/>
      <c r="G440" s="51"/>
      <c r="H440" s="51"/>
      <c r="I440" s="51"/>
      <c r="J440" s="51"/>
      <c r="K440" s="51"/>
      <c r="L440" s="40">
        <v>1</v>
      </c>
      <c r="M440" s="40" t="s">
        <v>556</v>
      </c>
      <c r="N440" s="40" t="s">
        <v>556</v>
      </c>
      <c r="O440" s="40" t="s">
        <v>556</v>
      </c>
      <c r="P440" s="40" t="s">
        <v>556</v>
      </c>
      <c r="Q440" s="38"/>
      <c r="R440" s="38"/>
      <c r="S440" s="3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</row>
    <row r="441" spans="1:188" s="57" customFormat="1" ht="18" customHeight="1">
      <c r="A441" s="13">
        <v>47</v>
      </c>
      <c r="B441" s="92" t="s">
        <v>481</v>
      </c>
      <c r="C441" s="45"/>
      <c r="D441" s="44">
        <v>58</v>
      </c>
      <c r="E441" s="44">
        <v>17</v>
      </c>
      <c r="F441" s="44">
        <v>135</v>
      </c>
      <c r="G441" s="44">
        <v>58</v>
      </c>
      <c r="H441" s="44">
        <v>58</v>
      </c>
      <c r="I441" s="44">
        <v>58</v>
      </c>
      <c r="J441" s="44">
        <v>58</v>
      </c>
      <c r="K441" s="44">
        <v>58</v>
      </c>
      <c r="L441" s="44" t="s">
        <v>556</v>
      </c>
      <c r="M441" s="44" t="s">
        <v>556</v>
      </c>
      <c r="N441" s="44">
        <v>2</v>
      </c>
      <c r="O441" s="44">
        <v>4</v>
      </c>
      <c r="P441" s="44" t="s">
        <v>556</v>
      </c>
      <c r="Q441" s="54" t="s">
        <v>648</v>
      </c>
      <c r="R441" s="54">
        <v>15</v>
      </c>
      <c r="S441" s="55" t="s">
        <v>905</v>
      </c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6"/>
      <c r="BG441" s="56"/>
      <c r="BH441" s="56"/>
      <c r="BI441" s="56"/>
      <c r="BJ441" s="56"/>
      <c r="BK441" s="56"/>
      <c r="BL441" s="56"/>
      <c r="BM441" s="56"/>
      <c r="BN441" s="56"/>
      <c r="BO441" s="56"/>
      <c r="BP441" s="56"/>
      <c r="BQ441" s="56"/>
      <c r="BR441" s="56"/>
      <c r="BS441" s="56"/>
      <c r="BT441" s="56"/>
      <c r="BU441" s="56"/>
      <c r="BV441" s="56"/>
      <c r="BW441" s="56"/>
      <c r="BX441" s="56"/>
      <c r="BY441" s="56"/>
      <c r="BZ441" s="56"/>
      <c r="CA441" s="56"/>
      <c r="CB441" s="56"/>
      <c r="CC441" s="56"/>
      <c r="CD441" s="56"/>
      <c r="CE441" s="56"/>
      <c r="CF441" s="56"/>
      <c r="CG441" s="56"/>
      <c r="CH441" s="56"/>
      <c r="CI441" s="56"/>
      <c r="CJ441" s="56"/>
      <c r="CK441" s="56"/>
      <c r="CL441" s="56"/>
      <c r="CM441" s="56"/>
      <c r="CN441" s="56"/>
      <c r="CO441" s="56"/>
      <c r="CP441" s="56"/>
      <c r="CQ441" s="56"/>
      <c r="CR441" s="56"/>
      <c r="CS441" s="56"/>
      <c r="CT441" s="56"/>
      <c r="CU441" s="56"/>
      <c r="CV441" s="56"/>
      <c r="CW441" s="56"/>
      <c r="CX441" s="56"/>
      <c r="CY441" s="56"/>
      <c r="CZ441" s="56"/>
      <c r="DA441" s="56"/>
      <c r="DB441" s="56"/>
      <c r="DC441" s="56"/>
      <c r="DD441" s="56"/>
      <c r="DE441" s="56"/>
      <c r="DF441" s="56"/>
      <c r="DG441" s="56"/>
      <c r="DH441" s="56"/>
      <c r="DI441" s="56"/>
      <c r="DJ441" s="56"/>
      <c r="DK441" s="56"/>
      <c r="DL441" s="56"/>
      <c r="DM441" s="56"/>
      <c r="DN441" s="56"/>
      <c r="DO441" s="56"/>
      <c r="DP441" s="56"/>
      <c r="DQ441" s="56"/>
      <c r="DR441" s="56"/>
      <c r="DS441" s="56"/>
      <c r="DT441" s="56"/>
      <c r="DU441" s="56"/>
      <c r="DV441" s="56"/>
      <c r="DW441" s="56"/>
      <c r="DX441" s="56"/>
      <c r="DY441" s="56"/>
      <c r="DZ441" s="56"/>
      <c r="EA441" s="56"/>
      <c r="EB441" s="56"/>
      <c r="EC441" s="56"/>
      <c r="ED441" s="56"/>
      <c r="EE441" s="56"/>
      <c r="EF441" s="56"/>
      <c r="EG441" s="56"/>
      <c r="EH441" s="56"/>
      <c r="EI441" s="56"/>
      <c r="EJ441" s="56"/>
      <c r="EK441" s="56"/>
      <c r="EL441" s="56"/>
      <c r="EM441" s="56"/>
      <c r="EN441" s="56"/>
      <c r="EO441" s="56"/>
      <c r="EP441" s="56"/>
      <c r="EQ441" s="56"/>
      <c r="ER441" s="56"/>
      <c r="ES441" s="56"/>
      <c r="ET441" s="56"/>
      <c r="EU441" s="56"/>
      <c r="EV441" s="56"/>
      <c r="EW441" s="56"/>
      <c r="EX441" s="56"/>
      <c r="EY441" s="56"/>
      <c r="EZ441" s="56"/>
      <c r="FA441" s="56"/>
      <c r="FB441" s="56"/>
      <c r="FC441" s="56"/>
      <c r="FD441" s="56"/>
      <c r="FE441" s="56"/>
      <c r="FF441" s="56"/>
      <c r="FG441" s="56"/>
      <c r="FH441" s="56"/>
      <c r="FI441" s="56"/>
      <c r="FJ441" s="56"/>
      <c r="FK441" s="56"/>
      <c r="FL441" s="56"/>
      <c r="FM441" s="56"/>
      <c r="FN441" s="56"/>
      <c r="FO441" s="56"/>
      <c r="FP441" s="56"/>
      <c r="FQ441" s="56"/>
      <c r="FR441" s="56"/>
      <c r="FS441" s="56"/>
      <c r="FT441" s="56"/>
      <c r="FU441" s="56"/>
      <c r="FV441" s="56"/>
      <c r="FW441" s="56"/>
      <c r="FX441" s="56"/>
      <c r="FY441" s="56"/>
      <c r="FZ441" s="56"/>
      <c r="GA441" s="56"/>
      <c r="GB441" s="56"/>
      <c r="GC441" s="56"/>
      <c r="GD441" s="56"/>
      <c r="GE441" s="56"/>
      <c r="GF441" s="56"/>
    </row>
    <row r="442" spans="1:48" s="18" customFormat="1" ht="16.5" customHeight="1">
      <c r="A442" s="50"/>
      <c r="B442" s="93" t="s">
        <v>669</v>
      </c>
      <c r="C442" s="16"/>
      <c r="D442" s="52"/>
      <c r="E442" s="52"/>
      <c r="F442" s="52"/>
      <c r="G442" s="52"/>
      <c r="H442" s="52"/>
      <c r="I442" s="52"/>
      <c r="J442" s="52"/>
      <c r="K442" s="52"/>
      <c r="L442" s="60" t="s">
        <v>556</v>
      </c>
      <c r="M442" s="60" t="s">
        <v>556</v>
      </c>
      <c r="N442" s="60">
        <f>SUM(N443:N444)</f>
        <v>2</v>
      </c>
      <c r="O442" s="60">
        <f>SUM(O443:O444)</f>
        <v>2</v>
      </c>
      <c r="P442" s="60" t="s">
        <v>556</v>
      </c>
      <c r="Q442" s="256">
        <f>SUM(Q443:Q444)</f>
        <v>0</v>
      </c>
      <c r="R442" s="100">
        <f>SUM(R443:R444)</f>
        <v>0</v>
      </c>
      <c r="S442" s="100">
        <f>SUM(S443:S444)</f>
        <v>0</v>
      </c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</row>
    <row r="443" spans="1:48" s="27" customFormat="1" ht="15.75" customHeight="1">
      <c r="A443" s="12"/>
      <c r="B443" s="97" t="s">
        <v>1049</v>
      </c>
      <c r="C443" s="29" t="s">
        <v>1050</v>
      </c>
      <c r="D443" s="51"/>
      <c r="E443" s="51"/>
      <c r="F443" s="51">
        <v>15</v>
      </c>
      <c r="G443" s="51">
        <v>5</v>
      </c>
      <c r="H443" s="51">
        <v>5</v>
      </c>
      <c r="I443" s="51">
        <v>5</v>
      </c>
      <c r="J443" s="51">
        <v>5</v>
      </c>
      <c r="K443" s="51">
        <v>5</v>
      </c>
      <c r="L443" s="40" t="s">
        <v>556</v>
      </c>
      <c r="M443" s="40" t="s">
        <v>556</v>
      </c>
      <c r="N443" s="40">
        <v>1</v>
      </c>
      <c r="O443" s="40">
        <v>2</v>
      </c>
      <c r="P443" s="40" t="s">
        <v>556</v>
      </c>
      <c r="Q443" s="33"/>
      <c r="R443" s="28"/>
      <c r="S443" s="2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</row>
    <row r="444" spans="1:48" s="27" customFormat="1" ht="15.75" customHeight="1">
      <c r="A444" s="12"/>
      <c r="B444" s="97" t="s">
        <v>1047</v>
      </c>
      <c r="C444" s="29" t="s">
        <v>1048</v>
      </c>
      <c r="D444" s="51"/>
      <c r="E444" s="51"/>
      <c r="F444" s="51">
        <v>25</v>
      </c>
      <c r="G444" s="51">
        <v>3</v>
      </c>
      <c r="H444" s="51">
        <v>3</v>
      </c>
      <c r="I444" s="51">
        <v>3</v>
      </c>
      <c r="J444" s="51">
        <v>3</v>
      </c>
      <c r="K444" s="51">
        <v>3</v>
      </c>
      <c r="L444" s="40" t="s">
        <v>556</v>
      </c>
      <c r="M444" s="40" t="s">
        <v>556</v>
      </c>
      <c r="N444" s="40">
        <v>1</v>
      </c>
      <c r="O444" s="40" t="s">
        <v>556</v>
      </c>
      <c r="P444" s="40" t="s">
        <v>556</v>
      </c>
      <c r="Q444" s="33" t="s">
        <v>556</v>
      </c>
      <c r="R444" s="28" t="s">
        <v>556</v>
      </c>
      <c r="S444" s="28" t="s">
        <v>556</v>
      </c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</row>
    <row r="445" spans="1:48" s="18" customFormat="1" ht="16.5" customHeight="1">
      <c r="A445" s="50"/>
      <c r="B445" s="93" t="s">
        <v>670</v>
      </c>
      <c r="C445" s="16"/>
      <c r="D445" s="52"/>
      <c r="E445" s="51"/>
      <c r="F445" s="51"/>
      <c r="G445" s="51"/>
      <c r="H445" s="51"/>
      <c r="I445" s="51"/>
      <c r="J445" s="51"/>
      <c r="K445" s="51"/>
      <c r="L445" s="60" t="str">
        <f>L446</f>
        <v> -</v>
      </c>
      <c r="M445" s="60" t="str">
        <f>M446</f>
        <v> -</v>
      </c>
      <c r="N445" s="60">
        <f>N446</f>
        <v>1</v>
      </c>
      <c r="O445" s="60">
        <v>2</v>
      </c>
      <c r="P445" s="60" t="str">
        <f>P446</f>
        <v> -</v>
      </c>
      <c r="Q445" s="255"/>
      <c r="R445" s="29"/>
      <c r="S445" s="29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</row>
    <row r="446" spans="1:48" s="27" customFormat="1" ht="18.75" customHeight="1">
      <c r="A446" s="12"/>
      <c r="B446" s="97" t="s">
        <v>561</v>
      </c>
      <c r="C446" s="15" t="s">
        <v>1053</v>
      </c>
      <c r="D446" s="51"/>
      <c r="E446" s="51"/>
      <c r="F446" s="51">
        <v>4</v>
      </c>
      <c r="G446" s="51">
        <v>2</v>
      </c>
      <c r="H446" s="51">
        <v>2</v>
      </c>
      <c r="I446" s="51">
        <v>2</v>
      </c>
      <c r="J446" s="51">
        <v>2</v>
      </c>
      <c r="K446" s="51">
        <v>2</v>
      </c>
      <c r="L446" s="40" t="s">
        <v>556</v>
      </c>
      <c r="M446" s="40" t="s">
        <v>556</v>
      </c>
      <c r="N446" s="40">
        <v>1</v>
      </c>
      <c r="O446" s="40">
        <v>1</v>
      </c>
      <c r="P446" s="40" t="s">
        <v>556</v>
      </c>
      <c r="Q446" s="38"/>
      <c r="R446" s="38"/>
      <c r="S446" s="3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</row>
    <row r="447" spans="1:48" s="27" customFormat="1" ht="18.75" customHeight="1">
      <c r="A447" s="12"/>
      <c r="B447" s="97" t="s">
        <v>1054</v>
      </c>
      <c r="C447" s="29" t="s">
        <v>1055</v>
      </c>
      <c r="D447" s="51"/>
      <c r="E447" s="51"/>
      <c r="F447" s="51"/>
      <c r="G447" s="51">
        <v>1</v>
      </c>
      <c r="H447" s="51">
        <v>1</v>
      </c>
      <c r="I447" s="51">
        <v>1</v>
      </c>
      <c r="J447" s="51">
        <v>1</v>
      </c>
      <c r="K447" s="51">
        <v>1</v>
      </c>
      <c r="L447" s="40" t="s">
        <v>556</v>
      </c>
      <c r="M447" s="40" t="s">
        <v>556</v>
      </c>
      <c r="N447" s="40" t="s">
        <v>556</v>
      </c>
      <c r="O447" s="40">
        <v>1</v>
      </c>
      <c r="P447" s="40" t="s">
        <v>556</v>
      </c>
      <c r="Q447" s="38"/>
      <c r="R447" s="38"/>
      <c r="S447" s="3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</row>
    <row r="448" spans="1:188" s="57" customFormat="1" ht="18" customHeight="1">
      <c r="A448" s="13">
        <v>48</v>
      </c>
      <c r="B448" s="92" t="s">
        <v>482</v>
      </c>
      <c r="C448" s="45"/>
      <c r="D448" s="44">
        <v>30</v>
      </c>
      <c r="E448" s="44"/>
      <c r="F448" s="44">
        <v>135</v>
      </c>
      <c r="G448" s="44">
        <v>30</v>
      </c>
      <c r="H448" s="44">
        <v>30</v>
      </c>
      <c r="I448" s="44">
        <v>30</v>
      </c>
      <c r="J448" s="44">
        <v>30</v>
      </c>
      <c r="K448" s="44">
        <v>30</v>
      </c>
      <c r="L448" s="44">
        <v>1</v>
      </c>
      <c r="M448" s="44">
        <v>1</v>
      </c>
      <c r="N448" s="44">
        <v>3</v>
      </c>
      <c r="O448" s="44">
        <v>2</v>
      </c>
      <c r="P448" s="44">
        <v>1</v>
      </c>
      <c r="Q448" s="54" t="s">
        <v>648</v>
      </c>
      <c r="R448" s="54">
        <v>15</v>
      </c>
      <c r="S448" s="55" t="s">
        <v>905</v>
      </c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  <c r="BG448" s="56"/>
      <c r="BH448" s="56"/>
      <c r="BI448" s="56"/>
      <c r="BJ448" s="56"/>
      <c r="BK448" s="56"/>
      <c r="BL448" s="56"/>
      <c r="BM448" s="56"/>
      <c r="BN448" s="56"/>
      <c r="BO448" s="56"/>
      <c r="BP448" s="56"/>
      <c r="BQ448" s="56"/>
      <c r="BR448" s="56"/>
      <c r="BS448" s="56"/>
      <c r="BT448" s="56"/>
      <c r="BU448" s="56"/>
      <c r="BV448" s="56"/>
      <c r="BW448" s="56"/>
      <c r="BX448" s="56"/>
      <c r="BY448" s="56"/>
      <c r="BZ448" s="56"/>
      <c r="CA448" s="56"/>
      <c r="CB448" s="56"/>
      <c r="CC448" s="56"/>
      <c r="CD448" s="56"/>
      <c r="CE448" s="56"/>
      <c r="CF448" s="56"/>
      <c r="CG448" s="56"/>
      <c r="CH448" s="56"/>
      <c r="CI448" s="56"/>
      <c r="CJ448" s="56"/>
      <c r="CK448" s="56"/>
      <c r="CL448" s="56"/>
      <c r="CM448" s="56"/>
      <c r="CN448" s="56"/>
      <c r="CO448" s="56"/>
      <c r="CP448" s="56"/>
      <c r="CQ448" s="56"/>
      <c r="CR448" s="56"/>
      <c r="CS448" s="56"/>
      <c r="CT448" s="56"/>
      <c r="CU448" s="56"/>
      <c r="CV448" s="56"/>
      <c r="CW448" s="56"/>
      <c r="CX448" s="56"/>
      <c r="CY448" s="56"/>
      <c r="CZ448" s="56"/>
      <c r="DA448" s="56"/>
      <c r="DB448" s="56"/>
      <c r="DC448" s="56"/>
      <c r="DD448" s="56"/>
      <c r="DE448" s="56"/>
      <c r="DF448" s="56"/>
      <c r="DG448" s="56"/>
      <c r="DH448" s="56"/>
      <c r="DI448" s="56"/>
      <c r="DJ448" s="56"/>
      <c r="DK448" s="56"/>
      <c r="DL448" s="56"/>
      <c r="DM448" s="56"/>
      <c r="DN448" s="56"/>
      <c r="DO448" s="56"/>
      <c r="DP448" s="56"/>
      <c r="DQ448" s="56"/>
      <c r="DR448" s="56"/>
      <c r="DS448" s="56"/>
      <c r="DT448" s="56"/>
      <c r="DU448" s="56"/>
      <c r="DV448" s="56"/>
      <c r="DW448" s="56"/>
      <c r="DX448" s="56"/>
      <c r="DY448" s="56"/>
      <c r="DZ448" s="56"/>
      <c r="EA448" s="56"/>
      <c r="EB448" s="56"/>
      <c r="EC448" s="56"/>
      <c r="ED448" s="56"/>
      <c r="EE448" s="56"/>
      <c r="EF448" s="56"/>
      <c r="EG448" s="56"/>
      <c r="EH448" s="56"/>
      <c r="EI448" s="56"/>
      <c r="EJ448" s="56"/>
      <c r="EK448" s="56"/>
      <c r="EL448" s="56"/>
      <c r="EM448" s="56"/>
      <c r="EN448" s="56"/>
      <c r="EO448" s="56"/>
      <c r="EP448" s="56"/>
      <c r="EQ448" s="56"/>
      <c r="ER448" s="56"/>
      <c r="ES448" s="56"/>
      <c r="ET448" s="56"/>
      <c r="EU448" s="56"/>
      <c r="EV448" s="56"/>
      <c r="EW448" s="56"/>
      <c r="EX448" s="56"/>
      <c r="EY448" s="56"/>
      <c r="EZ448" s="56"/>
      <c r="FA448" s="56"/>
      <c r="FB448" s="56"/>
      <c r="FC448" s="56"/>
      <c r="FD448" s="56"/>
      <c r="FE448" s="56"/>
      <c r="FF448" s="56"/>
      <c r="FG448" s="56"/>
      <c r="FH448" s="56"/>
      <c r="FI448" s="56"/>
      <c r="FJ448" s="56"/>
      <c r="FK448" s="56"/>
      <c r="FL448" s="56"/>
      <c r="FM448" s="56"/>
      <c r="FN448" s="56"/>
      <c r="FO448" s="56"/>
      <c r="FP448" s="56"/>
      <c r="FQ448" s="56"/>
      <c r="FR448" s="56"/>
      <c r="FS448" s="56"/>
      <c r="FT448" s="56"/>
      <c r="FU448" s="56"/>
      <c r="FV448" s="56"/>
      <c r="FW448" s="56"/>
      <c r="FX448" s="56"/>
      <c r="FY448" s="56"/>
      <c r="FZ448" s="56"/>
      <c r="GA448" s="56"/>
      <c r="GB448" s="56"/>
      <c r="GC448" s="56"/>
      <c r="GD448" s="56"/>
      <c r="GE448" s="56"/>
      <c r="GF448" s="56"/>
    </row>
    <row r="449" spans="1:48" s="18" customFormat="1" ht="17.25" customHeight="1">
      <c r="A449" s="50"/>
      <c r="B449" s="93" t="s">
        <v>669</v>
      </c>
      <c r="C449" s="16"/>
      <c r="D449" s="52"/>
      <c r="E449" s="52"/>
      <c r="F449" s="52"/>
      <c r="G449" s="52"/>
      <c r="H449" s="52"/>
      <c r="I449" s="52"/>
      <c r="J449" s="52"/>
      <c r="K449" s="52"/>
      <c r="L449" s="60">
        <f aca="true" t="shared" si="12" ref="L449:S449">SUM(L450:L453)</f>
        <v>1</v>
      </c>
      <c r="M449" s="60">
        <f t="shared" si="12"/>
        <v>1</v>
      </c>
      <c r="N449" s="60">
        <f t="shared" si="12"/>
        <v>2</v>
      </c>
      <c r="O449" s="60">
        <f t="shared" si="12"/>
        <v>1</v>
      </c>
      <c r="P449" s="60">
        <f t="shared" si="12"/>
        <v>1</v>
      </c>
      <c r="Q449" s="256">
        <f t="shared" si="12"/>
        <v>0</v>
      </c>
      <c r="R449" s="100">
        <f t="shared" si="12"/>
        <v>0</v>
      </c>
      <c r="S449" s="100">
        <f t="shared" si="12"/>
        <v>0</v>
      </c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</row>
    <row r="450" spans="1:48" s="27" customFormat="1" ht="15.75" customHeight="1">
      <c r="A450" s="12"/>
      <c r="B450" s="97" t="s">
        <v>1049</v>
      </c>
      <c r="C450" s="29" t="s">
        <v>1050</v>
      </c>
      <c r="D450" s="51"/>
      <c r="E450" s="51"/>
      <c r="F450" s="51">
        <v>15</v>
      </c>
      <c r="G450" s="51">
        <v>4</v>
      </c>
      <c r="H450" s="51">
        <v>4</v>
      </c>
      <c r="I450" s="51">
        <v>4</v>
      </c>
      <c r="J450" s="51">
        <v>4</v>
      </c>
      <c r="K450" s="51">
        <v>4</v>
      </c>
      <c r="L450" s="40">
        <v>1</v>
      </c>
      <c r="M450" s="40" t="s">
        <v>556</v>
      </c>
      <c r="N450" s="40">
        <v>1</v>
      </c>
      <c r="O450" s="40" t="s">
        <v>556</v>
      </c>
      <c r="P450" s="40" t="s">
        <v>556</v>
      </c>
      <c r="Q450" s="33"/>
      <c r="R450" s="28"/>
      <c r="S450" s="2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</row>
    <row r="451" spans="1:48" s="27" customFormat="1" ht="15.75" customHeight="1">
      <c r="A451" s="12"/>
      <c r="B451" s="97" t="s">
        <v>1047</v>
      </c>
      <c r="C451" s="29" t="s">
        <v>1048</v>
      </c>
      <c r="D451" s="51"/>
      <c r="E451" s="51"/>
      <c r="F451" s="51">
        <v>25</v>
      </c>
      <c r="G451" s="51">
        <v>2</v>
      </c>
      <c r="H451" s="51">
        <v>2</v>
      </c>
      <c r="I451" s="51">
        <v>2</v>
      </c>
      <c r="J451" s="51">
        <v>2</v>
      </c>
      <c r="K451" s="51">
        <v>2</v>
      </c>
      <c r="L451" s="40" t="s">
        <v>556</v>
      </c>
      <c r="M451" s="40" t="s">
        <v>556</v>
      </c>
      <c r="N451" s="40" t="s">
        <v>556</v>
      </c>
      <c r="O451" s="40" t="s">
        <v>556</v>
      </c>
      <c r="P451" s="40">
        <v>1</v>
      </c>
      <c r="Q451" s="33" t="s">
        <v>556</v>
      </c>
      <c r="R451" s="28" t="s">
        <v>556</v>
      </c>
      <c r="S451" s="28" t="s">
        <v>556</v>
      </c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</row>
    <row r="452" spans="1:48" s="27" customFormat="1" ht="15.75" customHeight="1">
      <c r="A452" s="12"/>
      <c r="B452" s="97" t="s">
        <v>594</v>
      </c>
      <c r="C452" s="29" t="s">
        <v>783</v>
      </c>
      <c r="D452" s="51"/>
      <c r="E452" s="51"/>
      <c r="F452" s="51">
        <v>18</v>
      </c>
      <c r="G452" s="51">
        <v>6</v>
      </c>
      <c r="H452" s="51">
        <v>6</v>
      </c>
      <c r="I452" s="51">
        <v>6</v>
      </c>
      <c r="J452" s="51">
        <v>6</v>
      </c>
      <c r="K452" s="51">
        <v>6</v>
      </c>
      <c r="L452" s="40" t="s">
        <v>556</v>
      </c>
      <c r="M452" s="40">
        <v>1</v>
      </c>
      <c r="N452" s="40" t="s">
        <v>556</v>
      </c>
      <c r="O452" s="40">
        <v>1</v>
      </c>
      <c r="P452" s="40" t="s">
        <v>556</v>
      </c>
      <c r="Q452" s="33" t="s">
        <v>556</v>
      </c>
      <c r="R452" s="28" t="s">
        <v>556</v>
      </c>
      <c r="S452" s="28" t="s">
        <v>556</v>
      </c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</row>
    <row r="453" spans="1:48" s="27" customFormat="1" ht="30" customHeight="1">
      <c r="A453" s="12"/>
      <c r="B453" s="97" t="s">
        <v>526</v>
      </c>
      <c r="C453" s="29" t="s">
        <v>525</v>
      </c>
      <c r="D453" s="51"/>
      <c r="E453" s="51"/>
      <c r="F453" s="51"/>
      <c r="G453" s="51">
        <v>1</v>
      </c>
      <c r="H453" s="51">
        <v>1</v>
      </c>
      <c r="I453" s="51">
        <v>1</v>
      </c>
      <c r="J453" s="51">
        <v>1</v>
      </c>
      <c r="K453" s="51">
        <v>1</v>
      </c>
      <c r="L453" s="40" t="s">
        <v>556</v>
      </c>
      <c r="M453" s="40" t="s">
        <v>556</v>
      </c>
      <c r="N453" s="40">
        <v>1</v>
      </c>
      <c r="O453" s="40" t="s">
        <v>556</v>
      </c>
      <c r="P453" s="40" t="s">
        <v>556</v>
      </c>
      <c r="Q453" s="33"/>
      <c r="R453" s="28"/>
      <c r="S453" s="2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</row>
    <row r="454" spans="1:48" s="18" customFormat="1" ht="15.75" customHeight="1">
      <c r="A454" s="50"/>
      <c r="B454" s="93" t="s">
        <v>670</v>
      </c>
      <c r="C454" s="16"/>
      <c r="D454" s="52"/>
      <c r="E454" s="51"/>
      <c r="F454" s="51"/>
      <c r="G454" s="51"/>
      <c r="H454" s="51"/>
      <c r="I454" s="51"/>
      <c r="J454" s="51"/>
      <c r="K454" s="51"/>
      <c r="L454" s="60" t="str">
        <f>L455</f>
        <v> -</v>
      </c>
      <c r="M454" s="60" t="str">
        <f>M455</f>
        <v> -</v>
      </c>
      <c r="N454" s="60">
        <f>N455</f>
        <v>1</v>
      </c>
      <c r="O454" s="60">
        <v>1</v>
      </c>
      <c r="P454" s="60" t="str">
        <f>P455</f>
        <v> -</v>
      </c>
      <c r="Q454" s="255"/>
      <c r="R454" s="29"/>
      <c r="S454" s="29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</row>
    <row r="455" spans="1:48" s="27" customFormat="1" ht="18.75" customHeight="1">
      <c r="A455" s="12"/>
      <c r="B455" s="97" t="s">
        <v>561</v>
      </c>
      <c r="C455" s="15" t="s">
        <v>1053</v>
      </c>
      <c r="D455" s="51"/>
      <c r="E455" s="51"/>
      <c r="F455" s="51">
        <v>4</v>
      </c>
      <c r="G455" s="51">
        <v>1</v>
      </c>
      <c r="H455" s="51">
        <v>1</v>
      </c>
      <c r="I455" s="51">
        <v>1</v>
      </c>
      <c r="J455" s="51">
        <v>1</v>
      </c>
      <c r="K455" s="51">
        <v>1</v>
      </c>
      <c r="L455" s="40" t="s">
        <v>556</v>
      </c>
      <c r="M455" s="40" t="s">
        <v>556</v>
      </c>
      <c r="N455" s="40">
        <v>1</v>
      </c>
      <c r="O455" s="40" t="s">
        <v>556</v>
      </c>
      <c r="P455" s="40" t="s">
        <v>556</v>
      </c>
      <c r="Q455" s="38"/>
      <c r="R455" s="38"/>
      <c r="S455" s="3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</row>
    <row r="456" spans="1:48" s="27" customFormat="1" ht="18.75" customHeight="1">
      <c r="A456" s="12"/>
      <c r="B456" s="97" t="s">
        <v>566</v>
      </c>
      <c r="C456" s="15" t="s">
        <v>567</v>
      </c>
      <c r="D456" s="51"/>
      <c r="E456" s="51"/>
      <c r="F456" s="51"/>
      <c r="G456" s="51">
        <v>1</v>
      </c>
      <c r="H456" s="51">
        <v>1</v>
      </c>
      <c r="I456" s="51">
        <v>1</v>
      </c>
      <c r="J456" s="51">
        <v>1</v>
      </c>
      <c r="K456" s="51">
        <v>1</v>
      </c>
      <c r="L456" s="40" t="s">
        <v>556</v>
      </c>
      <c r="M456" s="40" t="s">
        <v>556</v>
      </c>
      <c r="N456" s="40" t="s">
        <v>556</v>
      </c>
      <c r="O456" s="40">
        <v>1</v>
      </c>
      <c r="P456" s="40" t="s">
        <v>556</v>
      </c>
      <c r="Q456" s="38"/>
      <c r="R456" s="38"/>
      <c r="S456" s="3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</row>
    <row r="457" spans="1:188" s="57" customFormat="1" ht="18" customHeight="1">
      <c r="A457" s="13">
        <v>49</v>
      </c>
      <c r="B457" s="92" t="s">
        <v>183</v>
      </c>
      <c r="C457" s="45"/>
      <c r="D457" s="44">
        <v>82</v>
      </c>
      <c r="E457" s="44">
        <v>10</v>
      </c>
      <c r="F457" s="44"/>
      <c r="G457" s="44">
        <v>82</v>
      </c>
      <c r="H457" s="44">
        <v>82</v>
      </c>
      <c r="I457" s="44">
        <v>82</v>
      </c>
      <c r="J457" s="44">
        <v>82</v>
      </c>
      <c r="K457" s="44">
        <v>82</v>
      </c>
      <c r="L457" s="44">
        <v>2</v>
      </c>
      <c r="M457" s="44">
        <v>2</v>
      </c>
      <c r="N457" s="44">
        <v>2</v>
      </c>
      <c r="O457" s="44">
        <v>2</v>
      </c>
      <c r="P457" s="44">
        <v>2</v>
      </c>
      <c r="Q457" s="54" t="s">
        <v>649</v>
      </c>
      <c r="R457" s="54">
        <v>15</v>
      </c>
      <c r="S457" s="55" t="s">
        <v>913</v>
      </c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56"/>
      <c r="BM457" s="56"/>
      <c r="BN457" s="56"/>
      <c r="BO457" s="56"/>
      <c r="BP457" s="56"/>
      <c r="BQ457" s="56"/>
      <c r="BR457" s="56"/>
      <c r="BS457" s="56"/>
      <c r="BT457" s="56"/>
      <c r="BU457" s="56"/>
      <c r="BV457" s="56"/>
      <c r="BW457" s="56"/>
      <c r="BX457" s="56"/>
      <c r="BY457" s="56"/>
      <c r="BZ457" s="56"/>
      <c r="CA457" s="56"/>
      <c r="CB457" s="56"/>
      <c r="CC457" s="56"/>
      <c r="CD457" s="56"/>
      <c r="CE457" s="56"/>
      <c r="CF457" s="56"/>
      <c r="CG457" s="56"/>
      <c r="CH457" s="56"/>
      <c r="CI457" s="56"/>
      <c r="CJ457" s="56"/>
      <c r="CK457" s="56"/>
      <c r="CL457" s="56"/>
      <c r="CM457" s="56"/>
      <c r="CN457" s="56"/>
      <c r="CO457" s="56"/>
      <c r="CP457" s="56"/>
      <c r="CQ457" s="56"/>
      <c r="CR457" s="56"/>
      <c r="CS457" s="56"/>
      <c r="CT457" s="56"/>
      <c r="CU457" s="56"/>
      <c r="CV457" s="56"/>
      <c r="CW457" s="56"/>
      <c r="CX457" s="56"/>
      <c r="CY457" s="56"/>
      <c r="CZ457" s="56"/>
      <c r="DA457" s="56"/>
      <c r="DB457" s="56"/>
      <c r="DC457" s="56"/>
      <c r="DD457" s="56"/>
      <c r="DE457" s="56"/>
      <c r="DF457" s="56"/>
      <c r="DG457" s="56"/>
      <c r="DH457" s="56"/>
      <c r="DI457" s="56"/>
      <c r="DJ457" s="56"/>
      <c r="DK457" s="56"/>
      <c r="DL457" s="56"/>
      <c r="DM457" s="56"/>
      <c r="DN457" s="56"/>
      <c r="DO457" s="56"/>
      <c r="DP457" s="56"/>
      <c r="DQ457" s="56"/>
      <c r="DR457" s="56"/>
      <c r="DS457" s="56"/>
      <c r="DT457" s="56"/>
      <c r="DU457" s="56"/>
      <c r="DV457" s="56"/>
      <c r="DW457" s="56"/>
      <c r="DX457" s="56"/>
      <c r="DY457" s="56"/>
      <c r="DZ457" s="56"/>
      <c r="EA457" s="56"/>
      <c r="EB457" s="56"/>
      <c r="EC457" s="56"/>
      <c r="ED457" s="56"/>
      <c r="EE457" s="56"/>
      <c r="EF457" s="56"/>
      <c r="EG457" s="56"/>
      <c r="EH457" s="56"/>
      <c r="EI457" s="56"/>
      <c r="EJ457" s="56"/>
      <c r="EK457" s="56"/>
      <c r="EL457" s="56"/>
      <c r="EM457" s="56"/>
      <c r="EN457" s="56"/>
      <c r="EO457" s="56"/>
      <c r="EP457" s="56"/>
      <c r="EQ457" s="56"/>
      <c r="ER457" s="56"/>
      <c r="ES457" s="56"/>
      <c r="ET457" s="56"/>
      <c r="EU457" s="56"/>
      <c r="EV457" s="56"/>
      <c r="EW457" s="56"/>
      <c r="EX457" s="56"/>
      <c r="EY457" s="56"/>
      <c r="EZ457" s="56"/>
      <c r="FA457" s="56"/>
      <c r="FB457" s="56"/>
      <c r="FC457" s="56"/>
      <c r="FD457" s="56"/>
      <c r="FE457" s="56"/>
      <c r="FF457" s="56"/>
      <c r="FG457" s="56"/>
      <c r="FH457" s="56"/>
      <c r="FI457" s="56"/>
      <c r="FJ457" s="56"/>
      <c r="FK457" s="56"/>
      <c r="FL457" s="56"/>
      <c r="FM457" s="56"/>
      <c r="FN457" s="56"/>
      <c r="FO457" s="56"/>
      <c r="FP457" s="56"/>
      <c r="FQ457" s="56"/>
      <c r="FR457" s="56"/>
      <c r="FS457" s="56"/>
      <c r="FT457" s="56"/>
      <c r="FU457" s="56"/>
      <c r="FV457" s="56"/>
      <c r="FW457" s="56"/>
      <c r="FX457" s="56"/>
      <c r="FY457" s="56"/>
      <c r="FZ457" s="56"/>
      <c r="GA457" s="56"/>
      <c r="GB457" s="56"/>
      <c r="GC457" s="56"/>
      <c r="GD457" s="56"/>
      <c r="GE457" s="56"/>
      <c r="GF457" s="56"/>
    </row>
    <row r="458" spans="1:48" s="18" customFormat="1" ht="18" customHeight="1">
      <c r="A458" s="50"/>
      <c r="B458" s="93" t="s">
        <v>669</v>
      </c>
      <c r="C458" s="16"/>
      <c r="D458" s="52"/>
      <c r="E458" s="52"/>
      <c r="F458" s="52"/>
      <c r="G458" s="52"/>
      <c r="H458" s="52"/>
      <c r="I458" s="52"/>
      <c r="J458" s="52"/>
      <c r="K458" s="52"/>
      <c r="L458" s="60">
        <v>2</v>
      </c>
      <c r="M458" s="60">
        <v>2</v>
      </c>
      <c r="N458" s="60">
        <v>1</v>
      </c>
      <c r="O458" s="60" t="s">
        <v>556</v>
      </c>
      <c r="P458" s="60">
        <v>2</v>
      </c>
      <c r="Q458" s="23"/>
      <c r="R458" s="23"/>
      <c r="S458" s="1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</row>
    <row r="459" spans="1:48" s="27" customFormat="1" ht="15.75" customHeight="1">
      <c r="A459" s="12"/>
      <c r="B459" s="97" t="s">
        <v>1047</v>
      </c>
      <c r="C459" s="29" t="s">
        <v>1048</v>
      </c>
      <c r="D459" s="51"/>
      <c r="E459" s="51"/>
      <c r="F459" s="51"/>
      <c r="G459" s="51">
        <v>4</v>
      </c>
      <c r="H459" s="51">
        <v>4</v>
      </c>
      <c r="I459" s="51">
        <v>4</v>
      </c>
      <c r="J459" s="51">
        <v>4</v>
      </c>
      <c r="K459" s="51">
        <v>4</v>
      </c>
      <c r="L459" s="40" t="s">
        <v>556</v>
      </c>
      <c r="M459" s="40" t="s">
        <v>556</v>
      </c>
      <c r="N459" s="40" t="s">
        <v>556</v>
      </c>
      <c r="O459" s="40" t="s">
        <v>556</v>
      </c>
      <c r="P459" s="40">
        <v>1</v>
      </c>
      <c r="Q459" s="33"/>
      <c r="R459" s="28"/>
      <c r="S459" s="2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</row>
    <row r="460" spans="1:48" s="27" customFormat="1" ht="15.75" customHeight="1">
      <c r="A460" s="12"/>
      <c r="B460" s="97" t="s">
        <v>560</v>
      </c>
      <c r="C460" s="29" t="s">
        <v>741</v>
      </c>
      <c r="D460" s="51"/>
      <c r="E460" s="51"/>
      <c r="F460" s="51">
        <v>7</v>
      </c>
      <c r="G460" s="51">
        <v>4</v>
      </c>
      <c r="H460" s="51">
        <v>4</v>
      </c>
      <c r="I460" s="51">
        <v>4</v>
      </c>
      <c r="J460" s="51">
        <v>4</v>
      </c>
      <c r="K460" s="51">
        <v>4</v>
      </c>
      <c r="L460" s="40">
        <v>1</v>
      </c>
      <c r="M460" s="40" t="s">
        <v>556</v>
      </c>
      <c r="N460" s="40" t="s">
        <v>556</v>
      </c>
      <c r="O460" s="40" t="s">
        <v>556</v>
      </c>
      <c r="P460" s="40" t="s">
        <v>556</v>
      </c>
      <c r="Q460" s="30"/>
      <c r="R460" s="30"/>
      <c r="S460" s="30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</row>
    <row r="461" spans="1:48" s="27" customFormat="1" ht="15.75" customHeight="1">
      <c r="A461" s="12"/>
      <c r="B461" s="97" t="s">
        <v>1049</v>
      </c>
      <c r="C461" s="29" t="s">
        <v>1050</v>
      </c>
      <c r="D461" s="51"/>
      <c r="E461" s="51"/>
      <c r="F461" s="51"/>
      <c r="G461" s="51">
        <v>7</v>
      </c>
      <c r="H461" s="51">
        <v>7</v>
      </c>
      <c r="I461" s="51">
        <v>7</v>
      </c>
      <c r="J461" s="51">
        <v>7</v>
      </c>
      <c r="K461" s="51">
        <v>7</v>
      </c>
      <c r="L461" s="40" t="s">
        <v>556</v>
      </c>
      <c r="M461" s="40" t="s">
        <v>556</v>
      </c>
      <c r="N461" s="40">
        <v>1</v>
      </c>
      <c r="O461" s="40" t="s">
        <v>556</v>
      </c>
      <c r="P461" s="40" t="s">
        <v>556</v>
      </c>
      <c r="Q461" s="33"/>
      <c r="R461" s="28"/>
      <c r="S461" s="2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</row>
    <row r="462" spans="1:48" s="27" customFormat="1" ht="15.75" customHeight="1">
      <c r="A462" s="12"/>
      <c r="B462" s="97" t="s">
        <v>629</v>
      </c>
      <c r="C462" s="15" t="s">
        <v>787</v>
      </c>
      <c r="D462" s="51"/>
      <c r="E462" s="51"/>
      <c r="F462" s="51"/>
      <c r="G462" s="51">
        <v>1</v>
      </c>
      <c r="H462" s="51">
        <v>1</v>
      </c>
      <c r="I462" s="51">
        <v>1</v>
      </c>
      <c r="J462" s="51">
        <v>1</v>
      </c>
      <c r="K462" s="51">
        <v>1</v>
      </c>
      <c r="L462" s="40" t="s">
        <v>556</v>
      </c>
      <c r="M462" s="40">
        <v>1</v>
      </c>
      <c r="N462" s="40" t="s">
        <v>556</v>
      </c>
      <c r="O462" s="40" t="s">
        <v>556</v>
      </c>
      <c r="P462" s="40" t="s">
        <v>556</v>
      </c>
      <c r="Q462" s="33"/>
      <c r="R462" s="28"/>
      <c r="S462" s="2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</row>
    <row r="463" spans="1:48" s="27" customFormat="1" ht="15.75" customHeight="1">
      <c r="A463" s="12"/>
      <c r="B463" s="97" t="s">
        <v>594</v>
      </c>
      <c r="C463" s="29" t="s">
        <v>783</v>
      </c>
      <c r="D463" s="51"/>
      <c r="E463" s="51"/>
      <c r="F463" s="51"/>
      <c r="G463" s="51">
        <v>14</v>
      </c>
      <c r="H463" s="51">
        <v>14</v>
      </c>
      <c r="I463" s="51">
        <v>14</v>
      </c>
      <c r="J463" s="51">
        <v>14</v>
      </c>
      <c r="K463" s="51">
        <v>14</v>
      </c>
      <c r="L463" s="40">
        <v>1</v>
      </c>
      <c r="M463" s="40">
        <v>1</v>
      </c>
      <c r="N463" s="40" t="s">
        <v>556</v>
      </c>
      <c r="O463" s="40" t="s">
        <v>556</v>
      </c>
      <c r="P463" s="40">
        <v>1</v>
      </c>
      <c r="Q463" s="33" t="s">
        <v>556</v>
      </c>
      <c r="R463" s="28" t="s">
        <v>556</v>
      </c>
      <c r="S463" s="28" t="s">
        <v>556</v>
      </c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</row>
    <row r="464" spans="1:48" s="18" customFormat="1" ht="17.25" customHeight="1">
      <c r="A464" s="50"/>
      <c r="B464" s="93" t="s">
        <v>670</v>
      </c>
      <c r="C464" s="16"/>
      <c r="D464" s="52"/>
      <c r="E464" s="51"/>
      <c r="F464" s="51"/>
      <c r="G464" s="51"/>
      <c r="H464" s="51"/>
      <c r="I464" s="51"/>
      <c r="J464" s="51"/>
      <c r="K464" s="51"/>
      <c r="L464" s="60" t="str">
        <f>L465</f>
        <v> -</v>
      </c>
      <c r="M464" s="60" t="str">
        <f>M465</f>
        <v> -</v>
      </c>
      <c r="N464" s="60">
        <v>1</v>
      </c>
      <c r="O464" s="60">
        <v>2</v>
      </c>
      <c r="P464" s="60" t="str">
        <f>P465</f>
        <v> -</v>
      </c>
      <c r="Q464" s="255"/>
      <c r="R464" s="29"/>
      <c r="S464" s="29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</row>
    <row r="465" spans="1:48" s="27" customFormat="1" ht="18" customHeight="1">
      <c r="A465" s="12"/>
      <c r="B465" s="97" t="s">
        <v>257</v>
      </c>
      <c r="C465" s="15" t="s">
        <v>258</v>
      </c>
      <c r="D465" s="51"/>
      <c r="E465" s="51"/>
      <c r="F465" s="51">
        <v>4</v>
      </c>
      <c r="G465" s="51">
        <v>2</v>
      </c>
      <c r="H465" s="51">
        <v>2</v>
      </c>
      <c r="I465" s="51">
        <v>2</v>
      </c>
      <c r="J465" s="51">
        <v>2</v>
      </c>
      <c r="K465" s="51">
        <v>2</v>
      </c>
      <c r="L465" s="40" t="s">
        <v>556</v>
      </c>
      <c r="M465" s="40" t="s">
        <v>556</v>
      </c>
      <c r="N465" s="40" t="s">
        <v>556</v>
      </c>
      <c r="O465" s="40">
        <v>2</v>
      </c>
      <c r="P465" s="40" t="s">
        <v>556</v>
      </c>
      <c r="Q465" s="38"/>
      <c r="R465" s="38"/>
      <c r="S465" s="3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</row>
    <row r="466" spans="1:48" s="27" customFormat="1" ht="18" customHeight="1">
      <c r="A466" s="12"/>
      <c r="B466" s="97" t="s">
        <v>744</v>
      </c>
      <c r="C466" s="15" t="s">
        <v>745</v>
      </c>
      <c r="D466" s="51"/>
      <c r="E466" s="51"/>
      <c r="F466" s="51"/>
      <c r="G466" s="51">
        <v>1</v>
      </c>
      <c r="H466" s="51">
        <v>1</v>
      </c>
      <c r="I466" s="51">
        <v>1</v>
      </c>
      <c r="J466" s="51">
        <v>1</v>
      </c>
      <c r="K466" s="51">
        <v>1</v>
      </c>
      <c r="L466" s="40" t="s">
        <v>556</v>
      </c>
      <c r="M466" s="40" t="s">
        <v>556</v>
      </c>
      <c r="N466" s="40">
        <v>1</v>
      </c>
      <c r="O466" s="40" t="s">
        <v>556</v>
      </c>
      <c r="P466" s="40" t="s">
        <v>556</v>
      </c>
      <c r="Q466" s="38"/>
      <c r="R466" s="38"/>
      <c r="S466" s="3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</row>
    <row r="467" spans="1:188" s="57" customFormat="1" ht="18" customHeight="1">
      <c r="A467" s="13">
        <v>50</v>
      </c>
      <c r="B467" s="92" t="s">
        <v>47</v>
      </c>
      <c r="C467" s="45"/>
      <c r="D467" s="44">
        <v>42</v>
      </c>
      <c r="E467" s="44">
        <v>8</v>
      </c>
      <c r="F467" s="44">
        <v>100</v>
      </c>
      <c r="G467" s="44">
        <v>42</v>
      </c>
      <c r="H467" s="44">
        <v>42</v>
      </c>
      <c r="I467" s="44">
        <v>42</v>
      </c>
      <c r="J467" s="44">
        <v>42</v>
      </c>
      <c r="K467" s="44">
        <v>42</v>
      </c>
      <c r="L467" s="44" t="str">
        <f aca="true" t="shared" si="13" ref="L467:S467">L468</f>
        <v> -</v>
      </c>
      <c r="M467" s="44">
        <f t="shared" si="13"/>
        <v>3</v>
      </c>
      <c r="N467" s="44">
        <f t="shared" si="13"/>
        <v>3</v>
      </c>
      <c r="O467" s="44" t="str">
        <f t="shared" si="13"/>
        <v> -</v>
      </c>
      <c r="P467" s="44">
        <f t="shared" si="13"/>
        <v>1</v>
      </c>
      <c r="Q467" s="123">
        <f t="shared" si="13"/>
        <v>0</v>
      </c>
      <c r="R467" s="44">
        <f t="shared" si="13"/>
        <v>0</v>
      </c>
      <c r="S467" s="44">
        <f t="shared" si="13"/>
        <v>0</v>
      </c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56"/>
      <c r="BM467" s="56"/>
      <c r="BN467" s="56"/>
      <c r="BO467" s="56"/>
      <c r="BP467" s="56"/>
      <c r="BQ467" s="56"/>
      <c r="BR467" s="56"/>
      <c r="BS467" s="56"/>
      <c r="BT467" s="56"/>
      <c r="BU467" s="56"/>
      <c r="BV467" s="56"/>
      <c r="BW467" s="56"/>
      <c r="BX467" s="56"/>
      <c r="BY467" s="56"/>
      <c r="BZ467" s="56"/>
      <c r="CA467" s="56"/>
      <c r="CB467" s="56"/>
      <c r="CC467" s="56"/>
      <c r="CD467" s="56"/>
      <c r="CE467" s="56"/>
      <c r="CF467" s="56"/>
      <c r="CG467" s="56"/>
      <c r="CH467" s="56"/>
      <c r="CI467" s="56"/>
      <c r="CJ467" s="56"/>
      <c r="CK467" s="56"/>
      <c r="CL467" s="56"/>
      <c r="CM467" s="56"/>
      <c r="CN467" s="56"/>
      <c r="CO467" s="56"/>
      <c r="CP467" s="56"/>
      <c r="CQ467" s="56"/>
      <c r="CR467" s="56"/>
      <c r="CS467" s="56"/>
      <c r="CT467" s="56"/>
      <c r="CU467" s="56"/>
      <c r="CV467" s="56"/>
      <c r="CW467" s="56"/>
      <c r="CX467" s="56"/>
      <c r="CY467" s="56"/>
      <c r="CZ467" s="56"/>
      <c r="DA467" s="56"/>
      <c r="DB467" s="56"/>
      <c r="DC467" s="56"/>
      <c r="DD467" s="56"/>
      <c r="DE467" s="56"/>
      <c r="DF467" s="56"/>
      <c r="DG467" s="56"/>
      <c r="DH467" s="56"/>
      <c r="DI467" s="56"/>
      <c r="DJ467" s="56"/>
      <c r="DK467" s="56"/>
      <c r="DL467" s="56"/>
      <c r="DM467" s="56"/>
      <c r="DN467" s="56"/>
      <c r="DO467" s="56"/>
      <c r="DP467" s="56"/>
      <c r="DQ467" s="56"/>
      <c r="DR467" s="56"/>
      <c r="DS467" s="56"/>
      <c r="DT467" s="56"/>
      <c r="DU467" s="56"/>
      <c r="DV467" s="56"/>
      <c r="DW467" s="56"/>
      <c r="DX467" s="56"/>
      <c r="DY467" s="56"/>
      <c r="DZ467" s="56"/>
      <c r="EA467" s="56"/>
      <c r="EB467" s="56"/>
      <c r="EC467" s="56"/>
      <c r="ED467" s="56"/>
      <c r="EE467" s="56"/>
      <c r="EF467" s="56"/>
      <c r="EG467" s="56"/>
      <c r="EH467" s="56"/>
      <c r="EI467" s="56"/>
      <c r="EJ467" s="56"/>
      <c r="EK467" s="56"/>
      <c r="EL467" s="56"/>
      <c r="EM467" s="56"/>
      <c r="EN467" s="56"/>
      <c r="EO467" s="56"/>
      <c r="EP467" s="56"/>
      <c r="EQ467" s="56"/>
      <c r="ER467" s="56"/>
      <c r="ES467" s="56"/>
      <c r="ET467" s="56"/>
      <c r="EU467" s="56"/>
      <c r="EV467" s="56"/>
      <c r="EW467" s="56"/>
      <c r="EX467" s="56"/>
      <c r="EY467" s="56"/>
      <c r="EZ467" s="56"/>
      <c r="FA467" s="56"/>
      <c r="FB467" s="56"/>
      <c r="FC467" s="56"/>
      <c r="FD467" s="56"/>
      <c r="FE467" s="56"/>
      <c r="FF467" s="56"/>
      <c r="FG467" s="56"/>
      <c r="FH467" s="56"/>
      <c r="FI467" s="56"/>
      <c r="FJ467" s="56"/>
      <c r="FK467" s="56"/>
      <c r="FL467" s="56"/>
      <c r="FM467" s="56"/>
      <c r="FN467" s="56"/>
      <c r="FO467" s="56"/>
      <c r="FP467" s="56"/>
      <c r="FQ467" s="56"/>
      <c r="FR467" s="56"/>
      <c r="FS467" s="56"/>
      <c r="FT467" s="56"/>
      <c r="FU467" s="56"/>
      <c r="FV467" s="56"/>
      <c r="FW467" s="56"/>
      <c r="FX467" s="56"/>
      <c r="FY467" s="56"/>
      <c r="FZ467" s="56"/>
      <c r="GA467" s="56"/>
      <c r="GB467" s="56"/>
      <c r="GC467" s="56"/>
      <c r="GD467" s="56"/>
      <c r="GE467" s="56"/>
      <c r="GF467" s="56"/>
    </row>
    <row r="468" spans="1:48" s="18" customFormat="1" ht="18" customHeight="1">
      <c r="A468" s="50"/>
      <c r="B468" s="93" t="s">
        <v>669</v>
      </c>
      <c r="C468" s="16"/>
      <c r="D468" s="52"/>
      <c r="E468" s="52"/>
      <c r="F468" s="52"/>
      <c r="G468" s="52"/>
      <c r="H468" s="52"/>
      <c r="I468" s="52"/>
      <c r="J468" s="52"/>
      <c r="K468" s="52"/>
      <c r="L468" s="60" t="s">
        <v>556</v>
      </c>
      <c r="M468" s="60">
        <v>3</v>
      </c>
      <c r="N468" s="60">
        <v>3</v>
      </c>
      <c r="O468" s="60" t="s">
        <v>556</v>
      </c>
      <c r="P468" s="60">
        <v>1</v>
      </c>
      <c r="Q468" s="23"/>
      <c r="R468" s="23"/>
      <c r="S468" s="1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</row>
    <row r="469" spans="1:48" s="27" customFormat="1" ht="15.75" customHeight="1">
      <c r="A469" s="12"/>
      <c r="B469" s="97" t="s">
        <v>1049</v>
      </c>
      <c r="C469" s="29" t="s">
        <v>1050</v>
      </c>
      <c r="D469" s="51"/>
      <c r="E469" s="51"/>
      <c r="F469" s="51">
        <v>15</v>
      </c>
      <c r="G469" s="51">
        <v>13</v>
      </c>
      <c r="H469" s="51">
        <v>13</v>
      </c>
      <c r="I469" s="51">
        <v>13</v>
      </c>
      <c r="J469" s="51">
        <v>13</v>
      </c>
      <c r="K469" s="51">
        <v>13</v>
      </c>
      <c r="L469" s="40" t="s">
        <v>556</v>
      </c>
      <c r="M469" s="40">
        <v>2</v>
      </c>
      <c r="N469" s="40">
        <v>3</v>
      </c>
      <c r="O469" s="40" t="s">
        <v>556</v>
      </c>
      <c r="P469" s="40">
        <v>1</v>
      </c>
      <c r="Q469" s="33"/>
      <c r="R469" s="28"/>
      <c r="S469" s="2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</row>
    <row r="470" spans="1:48" s="27" customFormat="1" ht="15.75" customHeight="1">
      <c r="A470" s="12"/>
      <c r="B470" s="97" t="s">
        <v>594</v>
      </c>
      <c r="C470" s="29" t="s">
        <v>783</v>
      </c>
      <c r="D470" s="51"/>
      <c r="E470" s="51"/>
      <c r="F470" s="51">
        <v>18</v>
      </c>
      <c r="G470" s="51">
        <v>7</v>
      </c>
      <c r="H470" s="51">
        <v>7</v>
      </c>
      <c r="I470" s="51">
        <v>7</v>
      </c>
      <c r="J470" s="51">
        <v>7</v>
      </c>
      <c r="K470" s="51">
        <v>7</v>
      </c>
      <c r="L470" s="40" t="s">
        <v>556</v>
      </c>
      <c r="M470" s="40">
        <v>1</v>
      </c>
      <c r="N470" s="40" t="s">
        <v>556</v>
      </c>
      <c r="O470" s="40" t="s">
        <v>556</v>
      </c>
      <c r="P470" s="40" t="s">
        <v>556</v>
      </c>
      <c r="Q470" s="33" t="s">
        <v>556</v>
      </c>
      <c r="R470" s="28" t="s">
        <v>556</v>
      </c>
      <c r="S470" s="28" t="s">
        <v>556</v>
      </c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</row>
    <row r="471" spans="1:188" s="57" customFormat="1" ht="18" customHeight="1">
      <c r="A471" s="13">
        <v>51</v>
      </c>
      <c r="B471" s="92" t="s">
        <v>184</v>
      </c>
      <c r="C471" s="45"/>
      <c r="D471" s="44">
        <v>81</v>
      </c>
      <c r="E471" s="44">
        <v>23</v>
      </c>
      <c r="F471" s="44">
        <v>100</v>
      </c>
      <c r="G471" s="44">
        <v>81</v>
      </c>
      <c r="H471" s="44">
        <v>81</v>
      </c>
      <c r="I471" s="44">
        <v>81</v>
      </c>
      <c r="J471" s="44">
        <v>81</v>
      </c>
      <c r="K471" s="44">
        <v>81</v>
      </c>
      <c r="L471" s="44">
        <f>SUM(L472,L480)</f>
        <v>3</v>
      </c>
      <c r="M471" s="44">
        <f>SUM(M472,M480)</f>
        <v>4</v>
      </c>
      <c r="N471" s="44">
        <f>SUM(N472,N480)</f>
        <v>3</v>
      </c>
      <c r="O471" s="44">
        <f>SUM(O472,O480)</f>
        <v>4</v>
      </c>
      <c r="P471" s="44">
        <f>SUM(P472,P480)</f>
        <v>4</v>
      </c>
      <c r="Q471" s="123">
        <f>Q472</f>
        <v>0</v>
      </c>
      <c r="R471" s="44">
        <f>R472</f>
        <v>0</v>
      </c>
      <c r="S471" s="44">
        <f>S472</f>
        <v>0</v>
      </c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6"/>
      <c r="BG471" s="56"/>
      <c r="BH471" s="56"/>
      <c r="BI471" s="56"/>
      <c r="BJ471" s="56"/>
      <c r="BK471" s="56"/>
      <c r="BL471" s="56"/>
      <c r="BM471" s="56"/>
      <c r="BN471" s="56"/>
      <c r="BO471" s="56"/>
      <c r="BP471" s="56"/>
      <c r="BQ471" s="56"/>
      <c r="BR471" s="56"/>
      <c r="BS471" s="56"/>
      <c r="BT471" s="56"/>
      <c r="BU471" s="56"/>
      <c r="BV471" s="56"/>
      <c r="BW471" s="56"/>
      <c r="BX471" s="56"/>
      <c r="BY471" s="56"/>
      <c r="BZ471" s="56"/>
      <c r="CA471" s="56"/>
      <c r="CB471" s="56"/>
      <c r="CC471" s="56"/>
      <c r="CD471" s="56"/>
      <c r="CE471" s="56"/>
      <c r="CF471" s="56"/>
      <c r="CG471" s="56"/>
      <c r="CH471" s="56"/>
      <c r="CI471" s="56"/>
      <c r="CJ471" s="56"/>
      <c r="CK471" s="56"/>
      <c r="CL471" s="56"/>
      <c r="CM471" s="56"/>
      <c r="CN471" s="56"/>
      <c r="CO471" s="56"/>
      <c r="CP471" s="56"/>
      <c r="CQ471" s="56"/>
      <c r="CR471" s="56"/>
      <c r="CS471" s="56"/>
      <c r="CT471" s="56"/>
      <c r="CU471" s="56"/>
      <c r="CV471" s="56"/>
      <c r="CW471" s="56"/>
      <c r="CX471" s="56"/>
      <c r="CY471" s="56"/>
      <c r="CZ471" s="56"/>
      <c r="DA471" s="56"/>
      <c r="DB471" s="56"/>
      <c r="DC471" s="56"/>
      <c r="DD471" s="56"/>
      <c r="DE471" s="56"/>
      <c r="DF471" s="56"/>
      <c r="DG471" s="56"/>
      <c r="DH471" s="56"/>
      <c r="DI471" s="56"/>
      <c r="DJ471" s="56"/>
      <c r="DK471" s="56"/>
      <c r="DL471" s="56"/>
      <c r="DM471" s="56"/>
      <c r="DN471" s="56"/>
      <c r="DO471" s="56"/>
      <c r="DP471" s="56"/>
      <c r="DQ471" s="56"/>
      <c r="DR471" s="56"/>
      <c r="DS471" s="56"/>
      <c r="DT471" s="56"/>
      <c r="DU471" s="56"/>
      <c r="DV471" s="56"/>
      <c r="DW471" s="56"/>
      <c r="DX471" s="56"/>
      <c r="DY471" s="56"/>
      <c r="DZ471" s="56"/>
      <c r="EA471" s="56"/>
      <c r="EB471" s="56"/>
      <c r="EC471" s="56"/>
      <c r="ED471" s="56"/>
      <c r="EE471" s="56"/>
      <c r="EF471" s="56"/>
      <c r="EG471" s="56"/>
      <c r="EH471" s="56"/>
      <c r="EI471" s="56"/>
      <c r="EJ471" s="56"/>
      <c r="EK471" s="56"/>
      <c r="EL471" s="56"/>
      <c r="EM471" s="56"/>
      <c r="EN471" s="56"/>
      <c r="EO471" s="56"/>
      <c r="EP471" s="56"/>
      <c r="EQ471" s="56"/>
      <c r="ER471" s="56"/>
      <c r="ES471" s="56"/>
      <c r="ET471" s="56"/>
      <c r="EU471" s="56"/>
      <c r="EV471" s="56"/>
      <c r="EW471" s="56"/>
      <c r="EX471" s="56"/>
      <c r="EY471" s="56"/>
      <c r="EZ471" s="56"/>
      <c r="FA471" s="56"/>
      <c r="FB471" s="56"/>
      <c r="FC471" s="56"/>
      <c r="FD471" s="56"/>
      <c r="FE471" s="56"/>
      <c r="FF471" s="56"/>
      <c r="FG471" s="56"/>
      <c r="FH471" s="56"/>
      <c r="FI471" s="56"/>
      <c r="FJ471" s="56"/>
      <c r="FK471" s="56"/>
      <c r="FL471" s="56"/>
      <c r="FM471" s="56"/>
      <c r="FN471" s="56"/>
      <c r="FO471" s="56"/>
      <c r="FP471" s="56"/>
      <c r="FQ471" s="56"/>
      <c r="FR471" s="56"/>
      <c r="FS471" s="56"/>
      <c r="FT471" s="56"/>
      <c r="FU471" s="56"/>
      <c r="FV471" s="56"/>
      <c r="FW471" s="56"/>
      <c r="FX471" s="56"/>
      <c r="FY471" s="56"/>
      <c r="FZ471" s="56"/>
      <c r="GA471" s="56"/>
      <c r="GB471" s="56"/>
      <c r="GC471" s="56"/>
      <c r="GD471" s="56"/>
      <c r="GE471" s="56"/>
      <c r="GF471" s="56"/>
    </row>
    <row r="472" spans="1:48" s="18" customFormat="1" ht="16.5" customHeight="1">
      <c r="A472" s="50"/>
      <c r="B472" s="93" t="s">
        <v>669</v>
      </c>
      <c r="C472" s="16"/>
      <c r="D472" s="52"/>
      <c r="E472" s="52"/>
      <c r="F472" s="52"/>
      <c r="G472" s="52"/>
      <c r="H472" s="52"/>
      <c r="I472" s="52"/>
      <c r="J472" s="52"/>
      <c r="K472" s="52"/>
      <c r="L472" s="60">
        <f>SUM(L473:L479)</f>
        <v>2</v>
      </c>
      <c r="M472" s="60">
        <f>SUM(M473:M479)</f>
        <v>3</v>
      </c>
      <c r="N472" s="60">
        <f>SUM(N473:N479)</f>
        <v>3</v>
      </c>
      <c r="O472" s="60">
        <f>SUM(O473:O479)</f>
        <v>3</v>
      </c>
      <c r="P472" s="60">
        <f>SUM(P473:P479)</f>
        <v>4</v>
      </c>
      <c r="Q472" s="23"/>
      <c r="R472" s="23"/>
      <c r="S472" s="1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</row>
    <row r="473" spans="1:48" s="27" customFormat="1" ht="15.75" customHeight="1">
      <c r="A473" s="12"/>
      <c r="B473" s="97" t="s">
        <v>1049</v>
      </c>
      <c r="C473" s="29" t="s">
        <v>1050</v>
      </c>
      <c r="D473" s="51"/>
      <c r="E473" s="51"/>
      <c r="F473" s="51">
        <v>15</v>
      </c>
      <c r="G473" s="51">
        <v>7</v>
      </c>
      <c r="H473" s="51">
        <v>7</v>
      </c>
      <c r="I473" s="51">
        <v>7</v>
      </c>
      <c r="J473" s="51">
        <v>7</v>
      </c>
      <c r="K473" s="51">
        <v>7</v>
      </c>
      <c r="L473" s="40">
        <v>1</v>
      </c>
      <c r="M473" s="40" t="s">
        <v>556</v>
      </c>
      <c r="N473" s="40" t="s">
        <v>556</v>
      </c>
      <c r="O473" s="40" t="s">
        <v>556</v>
      </c>
      <c r="P473" s="40">
        <v>1</v>
      </c>
      <c r="Q473" s="33"/>
      <c r="R473" s="28"/>
      <c r="S473" s="2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</row>
    <row r="474" spans="1:48" s="27" customFormat="1" ht="15.75" customHeight="1">
      <c r="A474" s="12"/>
      <c r="B474" s="97" t="s">
        <v>1047</v>
      </c>
      <c r="C474" s="29" t="s">
        <v>1048</v>
      </c>
      <c r="D474" s="51"/>
      <c r="E474" s="51"/>
      <c r="F474" s="51">
        <v>25</v>
      </c>
      <c r="G474" s="51">
        <v>7</v>
      </c>
      <c r="H474" s="51">
        <v>7</v>
      </c>
      <c r="I474" s="51">
        <v>7</v>
      </c>
      <c r="J474" s="51">
        <v>7</v>
      </c>
      <c r="K474" s="51">
        <v>7</v>
      </c>
      <c r="L474" s="40">
        <v>1</v>
      </c>
      <c r="M474" s="40" t="s">
        <v>556</v>
      </c>
      <c r="N474" s="40" t="s">
        <v>556</v>
      </c>
      <c r="O474" s="40" t="s">
        <v>556</v>
      </c>
      <c r="P474" s="40">
        <v>1</v>
      </c>
      <c r="Q474" s="33" t="s">
        <v>556</v>
      </c>
      <c r="R474" s="28" t="s">
        <v>556</v>
      </c>
      <c r="S474" s="28" t="s">
        <v>556</v>
      </c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</row>
    <row r="475" spans="1:48" s="27" customFormat="1" ht="15.75" customHeight="1">
      <c r="A475" s="12"/>
      <c r="B475" s="97" t="s">
        <v>453</v>
      </c>
      <c r="C475" s="29" t="s">
        <v>454</v>
      </c>
      <c r="D475" s="51"/>
      <c r="E475" s="51"/>
      <c r="F475" s="51"/>
      <c r="G475" s="51">
        <v>5</v>
      </c>
      <c r="H475" s="51">
        <v>5</v>
      </c>
      <c r="I475" s="51">
        <v>5</v>
      </c>
      <c r="J475" s="51">
        <v>5</v>
      </c>
      <c r="K475" s="51">
        <v>5</v>
      </c>
      <c r="L475" s="40" t="s">
        <v>556</v>
      </c>
      <c r="M475" s="40" t="s">
        <v>556</v>
      </c>
      <c r="N475" s="40">
        <v>1</v>
      </c>
      <c r="O475" s="40" t="s">
        <v>556</v>
      </c>
      <c r="P475" s="40" t="s">
        <v>556</v>
      </c>
      <c r="Q475" s="33"/>
      <c r="R475" s="28"/>
      <c r="S475" s="2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</row>
    <row r="476" spans="1:48" s="27" customFormat="1" ht="15.75" customHeight="1">
      <c r="A476" s="12"/>
      <c r="B476" s="97" t="s">
        <v>411</v>
      </c>
      <c r="C476" s="15" t="s">
        <v>412</v>
      </c>
      <c r="D476" s="51"/>
      <c r="E476" s="51"/>
      <c r="F476" s="51"/>
      <c r="G476" s="51">
        <v>2</v>
      </c>
      <c r="H476" s="51">
        <v>2</v>
      </c>
      <c r="I476" s="51">
        <v>2</v>
      </c>
      <c r="J476" s="51">
        <v>2</v>
      </c>
      <c r="K476" s="51">
        <v>2</v>
      </c>
      <c r="L476" s="40" t="s">
        <v>556</v>
      </c>
      <c r="M476" s="40" t="s">
        <v>556</v>
      </c>
      <c r="N476" s="40" t="s">
        <v>556</v>
      </c>
      <c r="O476" s="40">
        <v>1</v>
      </c>
      <c r="P476" s="40" t="s">
        <v>556</v>
      </c>
      <c r="Q476" s="33"/>
      <c r="R476" s="28"/>
      <c r="S476" s="2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</row>
    <row r="477" spans="1:48" s="27" customFormat="1" ht="15.75" customHeight="1">
      <c r="A477" s="12"/>
      <c r="B477" s="97" t="s">
        <v>634</v>
      </c>
      <c r="C477" s="29" t="s">
        <v>639</v>
      </c>
      <c r="D477" s="51"/>
      <c r="E477" s="51"/>
      <c r="F477" s="51"/>
      <c r="G477" s="51">
        <v>4</v>
      </c>
      <c r="H477" s="51">
        <v>4</v>
      </c>
      <c r="I477" s="51">
        <v>4</v>
      </c>
      <c r="J477" s="51">
        <v>4</v>
      </c>
      <c r="K477" s="51">
        <v>4</v>
      </c>
      <c r="L477" s="40" t="s">
        <v>556</v>
      </c>
      <c r="M477" s="40" t="s">
        <v>556</v>
      </c>
      <c r="N477" s="40">
        <v>1</v>
      </c>
      <c r="O477" s="40">
        <v>1</v>
      </c>
      <c r="P477" s="40">
        <v>2</v>
      </c>
      <c r="Q477" s="33"/>
      <c r="R477" s="28"/>
      <c r="S477" s="2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</row>
    <row r="478" spans="1:48" s="27" customFormat="1" ht="15.75" customHeight="1">
      <c r="A478" s="12"/>
      <c r="B478" s="97" t="s">
        <v>594</v>
      </c>
      <c r="C478" s="29" t="s">
        <v>783</v>
      </c>
      <c r="D478" s="51"/>
      <c r="E478" s="51"/>
      <c r="F478" s="51">
        <v>18</v>
      </c>
      <c r="G478" s="51">
        <v>10</v>
      </c>
      <c r="H478" s="51">
        <v>10</v>
      </c>
      <c r="I478" s="51">
        <v>10</v>
      </c>
      <c r="J478" s="51">
        <v>10</v>
      </c>
      <c r="K478" s="51">
        <v>10</v>
      </c>
      <c r="L478" s="40" t="s">
        <v>556</v>
      </c>
      <c r="M478" s="40">
        <v>2</v>
      </c>
      <c r="N478" s="40" t="s">
        <v>556</v>
      </c>
      <c r="O478" s="40" t="s">
        <v>556</v>
      </c>
      <c r="P478" s="40" t="s">
        <v>556</v>
      </c>
      <c r="Q478" s="33" t="s">
        <v>556</v>
      </c>
      <c r="R478" s="28" t="s">
        <v>556</v>
      </c>
      <c r="S478" s="28" t="s">
        <v>556</v>
      </c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</row>
    <row r="479" spans="1:48" s="27" customFormat="1" ht="15.75" customHeight="1">
      <c r="A479" s="12"/>
      <c r="B479" s="97" t="s">
        <v>560</v>
      </c>
      <c r="C479" s="29" t="s">
        <v>741</v>
      </c>
      <c r="D479" s="51"/>
      <c r="E479" s="51"/>
      <c r="F479" s="51">
        <v>8</v>
      </c>
      <c r="G479" s="51">
        <v>8</v>
      </c>
      <c r="H479" s="51">
        <v>8</v>
      </c>
      <c r="I479" s="51">
        <v>8</v>
      </c>
      <c r="J479" s="51">
        <v>8</v>
      </c>
      <c r="K479" s="51">
        <v>8</v>
      </c>
      <c r="L479" s="40" t="s">
        <v>556</v>
      </c>
      <c r="M479" s="40">
        <v>1</v>
      </c>
      <c r="N479" s="40">
        <v>1</v>
      </c>
      <c r="O479" s="40">
        <v>1</v>
      </c>
      <c r="P479" s="40" t="s">
        <v>556</v>
      </c>
      <c r="Q479" s="33"/>
      <c r="R479" s="28"/>
      <c r="S479" s="2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</row>
    <row r="480" spans="1:48" s="18" customFormat="1" ht="16.5" customHeight="1">
      <c r="A480" s="50"/>
      <c r="B480" s="93" t="s">
        <v>670</v>
      </c>
      <c r="C480" s="16"/>
      <c r="D480" s="52"/>
      <c r="E480" s="51"/>
      <c r="F480" s="51"/>
      <c r="G480" s="51"/>
      <c r="H480" s="51"/>
      <c r="I480" s="51"/>
      <c r="J480" s="51"/>
      <c r="K480" s="51"/>
      <c r="L480" s="60">
        <f>L481</f>
        <v>1</v>
      </c>
      <c r="M480" s="60">
        <v>1</v>
      </c>
      <c r="N480" s="60" t="str">
        <f>N481</f>
        <v> -</v>
      </c>
      <c r="O480" s="60">
        <v>1</v>
      </c>
      <c r="P480" s="60" t="str">
        <f>P481</f>
        <v> -</v>
      </c>
      <c r="Q480" s="255"/>
      <c r="R480" s="29"/>
      <c r="S480" s="29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</row>
    <row r="481" spans="1:48" s="27" customFormat="1" ht="17.25" customHeight="1">
      <c r="A481" s="12"/>
      <c r="B481" s="97" t="s">
        <v>561</v>
      </c>
      <c r="C481" s="15" t="s">
        <v>1053</v>
      </c>
      <c r="D481" s="51"/>
      <c r="E481" s="51"/>
      <c r="F481" s="51">
        <v>4</v>
      </c>
      <c r="G481" s="51">
        <v>1</v>
      </c>
      <c r="H481" s="51">
        <v>1</v>
      </c>
      <c r="I481" s="51">
        <v>1</v>
      </c>
      <c r="J481" s="51">
        <v>1</v>
      </c>
      <c r="K481" s="51">
        <v>1</v>
      </c>
      <c r="L481" s="40">
        <v>1</v>
      </c>
      <c r="M481" s="40" t="s">
        <v>556</v>
      </c>
      <c r="N481" s="40" t="s">
        <v>556</v>
      </c>
      <c r="O481" s="40" t="s">
        <v>556</v>
      </c>
      <c r="P481" s="40" t="s">
        <v>556</v>
      </c>
      <c r="Q481" s="38"/>
      <c r="R481" s="38"/>
      <c r="S481" s="3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</row>
    <row r="482" spans="1:48" s="27" customFormat="1" ht="18" customHeight="1">
      <c r="A482" s="12"/>
      <c r="B482" s="97" t="s">
        <v>744</v>
      </c>
      <c r="C482" s="15" t="s">
        <v>745</v>
      </c>
      <c r="D482" s="51"/>
      <c r="E482" s="51"/>
      <c r="F482" s="51"/>
      <c r="G482" s="51">
        <v>1</v>
      </c>
      <c r="H482" s="51">
        <v>1</v>
      </c>
      <c r="I482" s="51">
        <v>1</v>
      </c>
      <c r="J482" s="51">
        <v>1</v>
      </c>
      <c r="K482" s="51">
        <v>1</v>
      </c>
      <c r="L482" s="40" t="s">
        <v>556</v>
      </c>
      <c r="M482" s="40" t="s">
        <v>556</v>
      </c>
      <c r="N482" s="40" t="s">
        <v>556</v>
      </c>
      <c r="O482" s="40">
        <v>1</v>
      </c>
      <c r="P482" s="40" t="s">
        <v>556</v>
      </c>
      <c r="Q482" s="38"/>
      <c r="R482" s="38"/>
      <c r="S482" s="3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</row>
    <row r="483" spans="1:48" s="27" customFormat="1" ht="15.75" customHeight="1">
      <c r="A483" s="12"/>
      <c r="B483" s="97" t="s">
        <v>566</v>
      </c>
      <c r="C483" s="15" t="s">
        <v>567</v>
      </c>
      <c r="D483" s="51"/>
      <c r="E483" s="51"/>
      <c r="F483" s="51"/>
      <c r="G483" s="51">
        <v>1</v>
      </c>
      <c r="H483" s="51">
        <v>1</v>
      </c>
      <c r="I483" s="51">
        <v>1</v>
      </c>
      <c r="J483" s="51">
        <v>1</v>
      </c>
      <c r="K483" s="51">
        <v>1</v>
      </c>
      <c r="L483" s="40" t="s">
        <v>556</v>
      </c>
      <c r="M483" s="40">
        <v>1</v>
      </c>
      <c r="N483" s="40" t="s">
        <v>556</v>
      </c>
      <c r="O483" s="40" t="s">
        <v>556</v>
      </c>
      <c r="P483" s="40" t="s">
        <v>556</v>
      </c>
      <c r="Q483" s="38"/>
      <c r="R483" s="38"/>
      <c r="S483" s="3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</row>
    <row r="484" spans="1:19" ht="14.25" customHeight="1">
      <c r="A484" s="399" t="s">
        <v>651</v>
      </c>
      <c r="B484" s="399"/>
      <c r="C484" s="399"/>
      <c r="D484" s="399"/>
      <c r="E484" s="399"/>
      <c r="F484" s="399"/>
      <c r="G484" s="399"/>
      <c r="H484" s="399"/>
      <c r="I484" s="399"/>
      <c r="J484" s="399"/>
      <c r="K484" s="399"/>
      <c r="L484" s="399"/>
      <c r="M484" s="399"/>
      <c r="N484" s="399"/>
      <c r="O484" s="399"/>
      <c r="P484" s="399"/>
      <c r="Q484" s="20"/>
      <c r="R484" s="20"/>
      <c r="S484" s="7"/>
    </row>
    <row r="485" spans="1:19" ht="13.5" customHeight="1">
      <c r="A485" s="400" t="s">
        <v>909</v>
      </c>
      <c r="B485" s="400"/>
      <c r="C485" s="400"/>
      <c r="D485" s="400"/>
      <c r="E485" s="400"/>
      <c r="F485" s="400"/>
      <c r="G485" s="400"/>
      <c r="H485" s="400"/>
      <c r="I485" s="400"/>
      <c r="J485" s="400"/>
      <c r="K485" s="400"/>
      <c r="L485" s="400"/>
      <c r="M485" s="400"/>
      <c r="N485" s="400"/>
      <c r="O485" s="400"/>
      <c r="P485" s="400"/>
      <c r="Q485" s="21"/>
      <c r="R485" s="21"/>
      <c r="S485" s="8"/>
    </row>
    <row r="486" spans="1:188" s="57" customFormat="1" ht="18" customHeight="1">
      <c r="A486" s="13">
        <v>52</v>
      </c>
      <c r="B486" s="92" t="s">
        <v>185</v>
      </c>
      <c r="C486" s="45"/>
      <c r="D486" s="44">
        <v>90</v>
      </c>
      <c r="E486" s="44">
        <v>19</v>
      </c>
      <c r="F486" s="44">
        <v>122</v>
      </c>
      <c r="G486" s="44">
        <v>90</v>
      </c>
      <c r="H486" s="44">
        <v>90</v>
      </c>
      <c r="I486" s="44">
        <v>90</v>
      </c>
      <c r="J486" s="44">
        <v>90</v>
      </c>
      <c r="K486" s="44">
        <v>90</v>
      </c>
      <c r="L486" s="44">
        <f>SUM(L487,L493,L497)</f>
        <v>2</v>
      </c>
      <c r="M486" s="44">
        <f>SUM(M487,M493,M497)</f>
        <v>8</v>
      </c>
      <c r="N486" s="44">
        <f>SUM(N487,N493,N497)</f>
        <v>6</v>
      </c>
      <c r="O486" s="44">
        <f>SUM(O487,O493,O497)</f>
        <v>3</v>
      </c>
      <c r="P486" s="44" t="s">
        <v>556</v>
      </c>
      <c r="Q486" s="54" t="s">
        <v>648</v>
      </c>
      <c r="R486" s="54">
        <v>16</v>
      </c>
      <c r="S486" s="55" t="s">
        <v>906</v>
      </c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6"/>
      <c r="BP486" s="56"/>
      <c r="BQ486" s="56"/>
      <c r="BR486" s="56"/>
      <c r="BS486" s="56"/>
      <c r="BT486" s="56"/>
      <c r="BU486" s="56"/>
      <c r="BV486" s="56"/>
      <c r="BW486" s="56"/>
      <c r="BX486" s="56"/>
      <c r="BY486" s="56"/>
      <c r="BZ486" s="56"/>
      <c r="CA486" s="56"/>
      <c r="CB486" s="56"/>
      <c r="CC486" s="56"/>
      <c r="CD486" s="56"/>
      <c r="CE486" s="56"/>
      <c r="CF486" s="56"/>
      <c r="CG486" s="56"/>
      <c r="CH486" s="56"/>
      <c r="CI486" s="56"/>
      <c r="CJ486" s="56"/>
      <c r="CK486" s="56"/>
      <c r="CL486" s="56"/>
      <c r="CM486" s="56"/>
      <c r="CN486" s="56"/>
      <c r="CO486" s="56"/>
      <c r="CP486" s="56"/>
      <c r="CQ486" s="56"/>
      <c r="CR486" s="56"/>
      <c r="CS486" s="56"/>
      <c r="CT486" s="56"/>
      <c r="CU486" s="56"/>
      <c r="CV486" s="56"/>
      <c r="CW486" s="56"/>
      <c r="CX486" s="56"/>
      <c r="CY486" s="56"/>
      <c r="CZ486" s="56"/>
      <c r="DA486" s="56"/>
      <c r="DB486" s="56"/>
      <c r="DC486" s="56"/>
      <c r="DD486" s="56"/>
      <c r="DE486" s="56"/>
      <c r="DF486" s="56"/>
      <c r="DG486" s="56"/>
      <c r="DH486" s="56"/>
      <c r="DI486" s="56"/>
      <c r="DJ486" s="56"/>
      <c r="DK486" s="56"/>
      <c r="DL486" s="56"/>
      <c r="DM486" s="56"/>
      <c r="DN486" s="56"/>
      <c r="DO486" s="56"/>
      <c r="DP486" s="56"/>
      <c r="DQ486" s="56"/>
      <c r="DR486" s="56"/>
      <c r="DS486" s="56"/>
      <c r="DT486" s="56"/>
      <c r="DU486" s="56"/>
      <c r="DV486" s="56"/>
      <c r="DW486" s="56"/>
      <c r="DX486" s="56"/>
      <c r="DY486" s="56"/>
      <c r="DZ486" s="56"/>
      <c r="EA486" s="56"/>
      <c r="EB486" s="56"/>
      <c r="EC486" s="56"/>
      <c r="ED486" s="56"/>
      <c r="EE486" s="56"/>
      <c r="EF486" s="56"/>
      <c r="EG486" s="56"/>
      <c r="EH486" s="56"/>
      <c r="EI486" s="56"/>
      <c r="EJ486" s="56"/>
      <c r="EK486" s="56"/>
      <c r="EL486" s="56"/>
      <c r="EM486" s="56"/>
      <c r="EN486" s="56"/>
      <c r="EO486" s="56"/>
      <c r="EP486" s="56"/>
      <c r="EQ486" s="56"/>
      <c r="ER486" s="56"/>
      <c r="ES486" s="56"/>
      <c r="ET486" s="56"/>
      <c r="EU486" s="56"/>
      <c r="EV486" s="56"/>
      <c r="EW486" s="56"/>
      <c r="EX486" s="56"/>
      <c r="EY486" s="56"/>
      <c r="EZ486" s="56"/>
      <c r="FA486" s="56"/>
      <c r="FB486" s="56"/>
      <c r="FC486" s="56"/>
      <c r="FD486" s="56"/>
      <c r="FE486" s="56"/>
      <c r="FF486" s="56"/>
      <c r="FG486" s="56"/>
      <c r="FH486" s="56"/>
      <c r="FI486" s="56"/>
      <c r="FJ486" s="56"/>
      <c r="FK486" s="56"/>
      <c r="FL486" s="56"/>
      <c r="FM486" s="56"/>
      <c r="FN486" s="56"/>
      <c r="FO486" s="56"/>
      <c r="FP486" s="56"/>
      <c r="FQ486" s="56"/>
      <c r="FR486" s="56"/>
      <c r="FS486" s="56"/>
      <c r="FT486" s="56"/>
      <c r="FU486" s="56"/>
      <c r="FV486" s="56"/>
      <c r="FW486" s="56"/>
      <c r="FX486" s="56"/>
      <c r="FY486" s="56"/>
      <c r="FZ486" s="56"/>
      <c r="GA486" s="56"/>
      <c r="GB486" s="56"/>
      <c r="GC486" s="56"/>
      <c r="GD486" s="56"/>
      <c r="GE486" s="56"/>
      <c r="GF486" s="56"/>
    </row>
    <row r="487" spans="1:48" s="18" customFormat="1" ht="18" customHeight="1">
      <c r="A487" s="50"/>
      <c r="B487" s="93" t="s">
        <v>669</v>
      </c>
      <c r="C487" s="16"/>
      <c r="D487" s="52"/>
      <c r="E487" s="52"/>
      <c r="F487" s="52"/>
      <c r="G487" s="52"/>
      <c r="H487" s="52"/>
      <c r="I487" s="52"/>
      <c r="J487" s="52"/>
      <c r="K487" s="52"/>
      <c r="L487" s="60">
        <f>SUM(L488:L492)</f>
        <v>1</v>
      </c>
      <c r="M487" s="60">
        <f>SUM(M488:M492)</f>
        <v>7</v>
      </c>
      <c r="N487" s="60">
        <f>SUM(N488:N492)</f>
        <v>5</v>
      </c>
      <c r="O487" s="60">
        <f>SUM(O488:O492)</f>
        <v>2</v>
      </c>
      <c r="P487" s="60" t="s">
        <v>556</v>
      </c>
      <c r="Q487" s="23"/>
      <c r="R487" s="23"/>
      <c r="S487" s="1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</row>
    <row r="488" spans="1:48" s="27" customFormat="1" ht="15.75" customHeight="1">
      <c r="A488" s="12"/>
      <c r="B488" s="97" t="s">
        <v>1049</v>
      </c>
      <c r="C488" s="29" t="s">
        <v>1050</v>
      </c>
      <c r="D488" s="51"/>
      <c r="E488" s="51"/>
      <c r="F488" s="51">
        <v>11</v>
      </c>
      <c r="G488" s="51">
        <v>10</v>
      </c>
      <c r="H488" s="51">
        <v>10</v>
      </c>
      <c r="I488" s="51">
        <v>10</v>
      </c>
      <c r="J488" s="51">
        <v>10</v>
      </c>
      <c r="K488" s="51">
        <v>10</v>
      </c>
      <c r="L488" s="40">
        <v>1</v>
      </c>
      <c r="M488" s="40">
        <v>2</v>
      </c>
      <c r="N488" s="40">
        <v>1</v>
      </c>
      <c r="O488" s="40">
        <v>1</v>
      </c>
      <c r="P488" s="40" t="s">
        <v>556</v>
      </c>
      <c r="Q488" s="33"/>
      <c r="R488" s="28"/>
      <c r="S488" s="2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</row>
    <row r="489" spans="1:48" s="27" customFormat="1" ht="15.75" customHeight="1">
      <c r="A489" s="12"/>
      <c r="B489" s="97" t="s">
        <v>560</v>
      </c>
      <c r="C489" s="15" t="s">
        <v>1319</v>
      </c>
      <c r="D489" s="51"/>
      <c r="E489" s="51"/>
      <c r="F489" s="51"/>
      <c r="G489" s="51"/>
      <c r="H489" s="51"/>
      <c r="I489" s="51"/>
      <c r="J489" s="51"/>
      <c r="K489" s="51"/>
      <c r="L489" s="40" t="s">
        <v>556</v>
      </c>
      <c r="M489" s="40" t="s">
        <v>556</v>
      </c>
      <c r="N489" s="40" t="s">
        <v>556</v>
      </c>
      <c r="O489" s="40" t="s">
        <v>556</v>
      </c>
      <c r="P489" s="40" t="s">
        <v>556</v>
      </c>
      <c r="Q489" s="33"/>
      <c r="R489" s="28"/>
      <c r="S489" s="2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</row>
    <row r="490" spans="1:48" s="27" customFormat="1" ht="15.75" customHeight="1">
      <c r="A490" s="12"/>
      <c r="B490" s="97" t="s">
        <v>1047</v>
      </c>
      <c r="C490" s="29" t="s">
        <v>1048</v>
      </c>
      <c r="D490" s="51"/>
      <c r="E490" s="51"/>
      <c r="F490" s="51"/>
      <c r="G490" s="51">
        <v>19</v>
      </c>
      <c r="H490" s="51">
        <v>19</v>
      </c>
      <c r="I490" s="51">
        <v>19</v>
      </c>
      <c r="J490" s="51">
        <v>19</v>
      </c>
      <c r="K490" s="51">
        <v>19</v>
      </c>
      <c r="L490" s="40" t="s">
        <v>556</v>
      </c>
      <c r="M490" s="40">
        <v>3</v>
      </c>
      <c r="N490" s="40">
        <v>4</v>
      </c>
      <c r="O490" s="40">
        <v>1</v>
      </c>
      <c r="P490" s="40" t="s">
        <v>556</v>
      </c>
      <c r="Q490" s="33"/>
      <c r="R490" s="33"/>
      <c r="S490" s="33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</row>
    <row r="491" spans="1:48" s="27" customFormat="1" ht="15.75" customHeight="1">
      <c r="A491" s="12"/>
      <c r="B491" s="97" t="s">
        <v>634</v>
      </c>
      <c r="C491" s="29" t="s">
        <v>639</v>
      </c>
      <c r="D491" s="51"/>
      <c r="E491" s="51"/>
      <c r="F491" s="51"/>
      <c r="G491" s="51">
        <v>4</v>
      </c>
      <c r="H491" s="51">
        <v>4</v>
      </c>
      <c r="I491" s="51">
        <v>4</v>
      </c>
      <c r="J491" s="51">
        <v>4</v>
      </c>
      <c r="K491" s="51">
        <v>4</v>
      </c>
      <c r="L491" s="40" t="s">
        <v>556</v>
      </c>
      <c r="M491" s="40">
        <v>1</v>
      </c>
      <c r="N491" s="40" t="s">
        <v>556</v>
      </c>
      <c r="O491" s="40" t="s">
        <v>556</v>
      </c>
      <c r="P491" s="40" t="s">
        <v>556</v>
      </c>
      <c r="Q491" s="33"/>
      <c r="R491" s="33"/>
      <c r="S491" s="33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</row>
    <row r="492" spans="1:48" s="27" customFormat="1" ht="15.75" customHeight="1">
      <c r="A492" s="12"/>
      <c r="B492" s="97" t="s">
        <v>594</v>
      </c>
      <c r="C492" s="29" t="s">
        <v>783</v>
      </c>
      <c r="D492" s="51"/>
      <c r="E492" s="51"/>
      <c r="F492" s="51"/>
      <c r="G492" s="51">
        <v>21</v>
      </c>
      <c r="H492" s="51">
        <v>21</v>
      </c>
      <c r="I492" s="51">
        <v>21</v>
      </c>
      <c r="J492" s="51">
        <v>21</v>
      </c>
      <c r="K492" s="51">
        <v>21</v>
      </c>
      <c r="L492" s="40" t="s">
        <v>556</v>
      </c>
      <c r="M492" s="40">
        <v>1</v>
      </c>
      <c r="N492" s="40" t="s">
        <v>556</v>
      </c>
      <c r="O492" s="40" t="s">
        <v>556</v>
      </c>
      <c r="P492" s="40" t="s">
        <v>556</v>
      </c>
      <c r="Q492" s="33"/>
      <c r="R492" s="33"/>
      <c r="S492" s="33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</row>
    <row r="493" spans="1:48" s="18" customFormat="1" ht="16.5" customHeight="1">
      <c r="A493" s="50"/>
      <c r="B493" s="93" t="s">
        <v>670</v>
      </c>
      <c r="C493" s="16"/>
      <c r="D493" s="52"/>
      <c r="E493" s="51"/>
      <c r="F493" s="52"/>
      <c r="G493" s="52"/>
      <c r="H493" s="52"/>
      <c r="I493" s="52"/>
      <c r="J493" s="52"/>
      <c r="K493" s="52"/>
      <c r="L493" s="60">
        <v>1</v>
      </c>
      <c r="M493" s="60">
        <v>1</v>
      </c>
      <c r="N493" s="60">
        <v>1</v>
      </c>
      <c r="O493" s="60" t="s">
        <v>556</v>
      </c>
      <c r="P493" s="60" t="s">
        <v>556</v>
      </c>
      <c r="Q493" s="23"/>
      <c r="R493" s="23"/>
      <c r="S493" s="1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</row>
    <row r="494" spans="1:48" s="27" customFormat="1" ht="18.75" customHeight="1">
      <c r="A494" s="12"/>
      <c r="B494" s="97" t="s">
        <v>742</v>
      </c>
      <c r="C494" s="29" t="s">
        <v>743</v>
      </c>
      <c r="D494" s="51"/>
      <c r="E494" s="51"/>
      <c r="F494" s="51">
        <v>1</v>
      </c>
      <c r="G494" s="51">
        <v>2</v>
      </c>
      <c r="H494" s="51">
        <v>2</v>
      </c>
      <c r="I494" s="51">
        <v>2</v>
      </c>
      <c r="J494" s="51">
        <v>2</v>
      </c>
      <c r="K494" s="51">
        <v>2</v>
      </c>
      <c r="L494" s="40">
        <v>1</v>
      </c>
      <c r="M494" s="40" t="s">
        <v>556</v>
      </c>
      <c r="N494" s="40"/>
      <c r="O494" s="40" t="s">
        <v>556</v>
      </c>
      <c r="P494" s="40" t="s">
        <v>556</v>
      </c>
      <c r="Q494" s="30"/>
      <c r="R494" s="30"/>
      <c r="S494" s="30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</row>
    <row r="495" spans="1:48" s="27" customFormat="1" ht="18.75" customHeight="1">
      <c r="A495" s="12"/>
      <c r="B495" s="97" t="s">
        <v>65</v>
      </c>
      <c r="C495" s="15" t="s">
        <v>66</v>
      </c>
      <c r="D495" s="51"/>
      <c r="E495" s="51"/>
      <c r="F495" s="51"/>
      <c r="G495" s="51">
        <v>1</v>
      </c>
      <c r="H495" s="51">
        <v>1</v>
      </c>
      <c r="I495" s="51">
        <v>1</v>
      </c>
      <c r="J495" s="51">
        <v>1</v>
      </c>
      <c r="K495" s="51">
        <v>1</v>
      </c>
      <c r="L495" s="40" t="s">
        <v>556</v>
      </c>
      <c r="M495" s="40">
        <v>1</v>
      </c>
      <c r="N495" s="40" t="s">
        <v>556</v>
      </c>
      <c r="O495" s="40" t="s">
        <v>556</v>
      </c>
      <c r="P495" s="40" t="s">
        <v>556</v>
      </c>
      <c r="Q495" s="30"/>
      <c r="R495" s="30"/>
      <c r="S495" s="30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</row>
    <row r="496" spans="1:48" s="27" customFormat="1" ht="18.75" customHeight="1">
      <c r="A496" s="12"/>
      <c r="B496" s="97" t="s">
        <v>561</v>
      </c>
      <c r="C496" s="66" t="s">
        <v>804</v>
      </c>
      <c r="D496" s="51"/>
      <c r="E496" s="51"/>
      <c r="F496" s="51"/>
      <c r="G496" s="51">
        <v>4</v>
      </c>
      <c r="H496" s="51">
        <v>4</v>
      </c>
      <c r="I496" s="51">
        <v>4</v>
      </c>
      <c r="J496" s="51">
        <v>4</v>
      </c>
      <c r="K496" s="51">
        <v>4</v>
      </c>
      <c r="L496" s="40" t="s">
        <v>556</v>
      </c>
      <c r="M496" s="40" t="s">
        <v>556</v>
      </c>
      <c r="N496" s="40">
        <v>1</v>
      </c>
      <c r="O496" s="40" t="s">
        <v>556</v>
      </c>
      <c r="P496" s="40" t="s">
        <v>556</v>
      </c>
      <c r="Q496" s="30"/>
      <c r="R496" s="30"/>
      <c r="S496" s="30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</row>
    <row r="497" spans="1:19" s="47" customFormat="1" ht="17.25" customHeight="1">
      <c r="A497" s="50"/>
      <c r="B497" s="93" t="s">
        <v>37</v>
      </c>
      <c r="C497" s="94"/>
      <c r="D497" s="60"/>
      <c r="E497" s="40"/>
      <c r="F497" s="60"/>
      <c r="G497" s="60"/>
      <c r="H497" s="60"/>
      <c r="I497" s="60"/>
      <c r="J497" s="60"/>
      <c r="K497" s="60"/>
      <c r="L497" s="60" t="s">
        <v>556</v>
      </c>
      <c r="M497" s="60" t="s">
        <v>556</v>
      </c>
      <c r="N497" s="60" t="s">
        <v>556</v>
      </c>
      <c r="O497" s="60">
        <v>1</v>
      </c>
      <c r="P497" s="60" t="s">
        <v>556</v>
      </c>
      <c r="Q497" s="95"/>
      <c r="R497" s="95"/>
      <c r="S497" s="96"/>
    </row>
    <row r="498" spans="1:19" s="48" customFormat="1" ht="18.75" customHeight="1">
      <c r="A498" s="12"/>
      <c r="B498" s="97" t="s">
        <v>867</v>
      </c>
      <c r="C498" s="15" t="s">
        <v>868</v>
      </c>
      <c r="D498" s="40"/>
      <c r="E498" s="40"/>
      <c r="F498" s="40"/>
      <c r="G498" s="40">
        <v>1</v>
      </c>
      <c r="H498" s="40">
        <v>1</v>
      </c>
      <c r="I498" s="40">
        <v>1</v>
      </c>
      <c r="J498" s="40">
        <v>1</v>
      </c>
      <c r="K498" s="40">
        <v>1</v>
      </c>
      <c r="L498" s="40" t="s">
        <v>556</v>
      </c>
      <c r="M498" s="40" t="s">
        <v>556</v>
      </c>
      <c r="N498" s="40" t="s">
        <v>556</v>
      </c>
      <c r="O498" s="40">
        <v>1</v>
      </c>
      <c r="P498" s="40" t="s">
        <v>556</v>
      </c>
      <c r="Q498" s="68"/>
      <c r="R498" s="68"/>
      <c r="S498" s="68"/>
    </row>
    <row r="499" spans="1:188" s="57" customFormat="1" ht="18" customHeight="1">
      <c r="A499" s="13">
        <v>53</v>
      </c>
      <c r="B499" s="92" t="s">
        <v>186</v>
      </c>
      <c r="C499" s="45"/>
      <c r="D499" s="44"/>
      <c r="E499" s="44"/>
      <c r="F499" s="44"/>
      <c r="G499" s="44"/>
      <c r="H499" s="44"/>
      <c r="I499" s="44"/>
      <c r="J499" s="44"/>
      <c r="K499" s="44"/>
      <c r="L499" s="44">
        <f>SUM(L500,L503)</f>
        <v>5</v>
      </c>
      <c r="M499" s="44">
        <f>SUM(M500,M503)</f>
        <v>4</v>
      </c>
      <c r="N499" s="44">
        <f>SUM(N500,N503)</f>
        <v>3</v>
      </c>
      <c r="O499" s="44">
        <f>SUM(O500,O503)</f>
        <v>3</v>
      </c>
      <c r="P499" s="44">
        <f>SUM(P500,P503)</f>
        <v>3</v>
      </c>
      <c r="Q499" s="54" t="s">
        <v>648</v>
      </c>
      <c r="R499" s="54">
        <v>16</v>
      </c>
      <c r="S499" s="55" t="s">
        <v>906</v>
      </c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  <c r="BG499" s="56"/>
      <c r="BH499" s="56"/>
      <c r="BI499" s="56"/>
      <c r="BJ499" s="56"/>
      <c r="BK499" s="56"/>
      <c r="BL499" s="56"/>
      <c r="BM499" s="56"/>
      <c r="BN499" s="56"/>
      <c r="BO499" s="56"/>
      <c r="BP499" s="56"/>
      <c r="BQ499" s="56"/>
      <c r="BR499" s="56"/>
      <c r="BS499" s="56"/>
      <c r="BT499" s="56"/>
      <c r="BU499" s="56"/>
      <c r="BV499" s="56"/>
      <c r="BW499" s="56"/>
      <c r="BX499" s="56"/>
      <c r="BY499" s="56"/>
      <c r="BZ499" s="56"/>
      <c r="CA499" s="56"/>
      <c r="CB499" s="56"/>
      <c r="CC499" s="56"/>
      <c r="CD499" s="56"/>
      <c r="CE499" s="56"/>
      <c r="CF499" s="56"/>
      <c r="CG499" s="56"/>
      <c r="CH499" s="56"/>
      <c r="CI499" s="56"/>
      <c r="CJ499" s="56"/>
      <c r="CK499" s="56"/>
      <c r="CL499" s="56"/>
      <c r="CM499" s="56"/>
      <c r="CN499" s="56"/>
      <c r="CO499" s="56"/>
      <c r="CP499" s="56"/>
      <c r="CQ499" s="56"/>
      <c r="CR499" s="56"/>
      <c r="CS499" s="56"/>
      <c r="CT499" s="56"/>
      <c r="CU499" s="56"/>
      <c r="CV499" s="56"/>
      <c r="CW499" s="56"/>
      <c r="CX499" s="56"/>
      <c r="CY499" s="56"/>
      <c r="CZ499" s="56"/>
      <c r="DA499" s="56"/>
      <c r="DB499" s="56"/>
      <c r="DC499" s="56"/>
      <c r="DD499" s="56"/>
      <c r="DE499" s="56"/>
      <c r="DF499" s="56"/>
      <c r="DG499" s="56"/>
      <c r="DH499" s="56"/>
      <c r="DI499" s="56"/>
      <c r="DJ499" s="56"/>
      <c r="DK499" s="56"/>
      <c r="DL499" s="56"/>
      <c r="DM499" s="56"/>
      <c r="DN499" s="56"/>
      <c r="DO499" s="56"/>
      <c r="DP499" s="56"/>
      <c r="DQ499" s="56"/>
      <c r="DR499" s="56"/>
      <c r="DS499" s="56"/>
      <c r="DT499" s="56"/>
      <c r="DU499" s="56"/>
      <c r="DV499" s="56"/>
      <c r="DW499" s="56"/>
      <c r="DX499" s="56"/>
      <c r="DY499" s="56"/>
      <c r="DZ499" s="56"/>
      <c r="EA499" s="56"/>
      <c r="EB499" s="56"/>
      <c r="EC499" s="56"/>
      <c r="ED499" s="56"/>
      <c r="EE499" s="56"/>
      <c r="EF499" s="56"/>
      <c r="EG499" s="56"/>
      <c r="EH499" s="56"/>
      <c r="EI499" s="56"/>
      <c r="EJ499" s="56"/>
      <c r="EK499" s="56"/>
      <c r="EL499" s="56"/>
      <c r="EM499" s="56"/>
      <c r="EN499" s="56"/>
      <c r="EO499" s="56"/>
      <c r="EP499" s="56"/>
      <c r="EQ499" s="56"/>
      <c r="ER499" s="56"/>
      <c r="ES499" s="56"/>
      <c r="ET499" s="56"/>
      <c r="EU499" s="56"/>
      <c r="EV499" s="56"/>
      <c r="EW499" s="56"/>
      <c r="EX499" s="56"/>
      <c r="EY499" s="56"/>
      <c r="EZ499" s="56"/>
      <c r="FA499" s="56"/>
      <c r="FB499" s="56"/>
      <c r="FC499" s="56"/>
      <c r="FD499" s="56"/>
      <c r="FE499" s="56"/>
      <c r="FF499" s="56"/>
      <c r="FG499" s="56"/>
      <c r="FH499" s="56"/>
      <c r="FI499" s="56"/>
      <c r="FJ499" s="56"/>
      <c r="FK499" s="56"/>
      <c r="FL499" s="56"/>
      <c r="FM499" s="56"/>
      <c r="FN499" s="56"/>
      <c r="FO499" s="56"/>
      <c r="FP499" s="56"/>
      <c r="FQ499" s="56"/>
      <c r="FR499" s="56"/>
      <c r="FS499" s="56"/>
      <c r="FT499" s="56"/>
      <c r="FU499" s="56"/>
      <c r="FV499" s="56"/>
      <c r="FW499" s="56"/>
      <c r="FX499" s="56"/>
      <c r="FY499" s="56"/>
      <c r="FZ499" s="56"/>
      <c r="GA499" s="56"/>
      <c r="GB499" s="56"/>
      <c r="GC499" s="56"/>
      <c r="GD499" s="56"/>
      <c r="GE499" s="56"/>
      <c r="GF499" s="56"/>
    </row>
    <row r="500" spans="1:48" s="18" customFormat="1" ht="16.5" customHeight="1">
      <c r="A500" s="50"/>
      <c r="B500" s="93" t="s">
        <v>669</v>
      </c>
      <c r="C500" s="16"/>
      <c r="D500" s="52"/>
      <c r="E500" s="52"/>
      <c r="F500" s="52"/>
      <c r="G500" s="52"/>
      <c r="H500" s="52"/>
      <c r="I500" s="52"/>
      <c r="J500" s="52"/>
      <c r="K500" s="52"/>
      <c r="L500" s="60">
        <f>SUM(L501:L502)</f>
        <v>5</v>
      </c>
      <c r="M500" s="60">
        <f>SUM(M501:M502)</f>
        <v>4</v>
      </c>
      <c r="N500" s="60">
        <f>SUM(N501:N502)</f>
        <v>3</v>
      </c>
      <c r="O500" s="60">
        <f>SUM(O501:O502)</f>
        <v>2</v>
      </c>
      <c r="P500" s="60">
        <f>SUM(P501:P502)</f>
        <v>2</v>
      </c>
      <c r="Q500" s="23"/>
      <c r="R500" s="23"/>
      <c r="S500" s="1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</row>
    <row r="501" spans="1:48" s="27" customFormat="1" ht="15.75" customHeight="1">
      <c r="A501" s="12"/>
      <c r="B501" s="97" t="s">
        <v>560</v>
      </c>
      <c r="C501" s="15" t="s">
        <v>1319</v>
      </c>
      <c r="D501" s="51"/>
      <c r="E501" s="51"/>
      <c r="F501" s="51"/>
      <c r="G501" s="51"/>
      <c r="H501" s="51"/>
      <c r="I501" s="51"/>
      <c r="J501" s="51"/>
      <c r="K501" s="51"/>
      <c r="L501" s="40">
        <v>2</v>
      </c>
      <c r="M501" s="40">
        <v>1</v>
      </c>
      <c r="N501" s="40">
        <v>1</v>
      </c>
      <c r="O501" s="40">
        <v>1</v>
      </c>
      <c r="P501" s="40">
        <v>1</v>
      </c>
      <c r="Q501" s="33"/>
      <c r="R501" s="28"/>
      <c r="S501" s="2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</row>
    <row r="502" spans="1:48" s="27" customFormat="1" ht="15.75" customHeight="1">
      <c r="A502" s="12"/>
      <c r="B502" s="97" t="s">
        <v>594</v>
      </c>
      <c r="C502" s="29" t="s">
        <v>783</v>
      </c>
      <c r="D502" s="51"/>
      <c r="E502" s="51"/>
      <c r="F502" s="51"/>
      <c r="G502" s="51"/>
      <c r="H502" s="51"/>
      <c r="I502" s="51"/>
      <c r="J502" s="51"/>
      <c r="K502" s="51"/>
      <c r="L502" s="40">
        <v>3</v>
      </c>
      <c r="M502" s="40">
        <v>3</v>
      </c>
      <c r="N502" s="40">
        <v>2</v>
      </c>
      <c r="O502" s="40">
        <v>1</v>
      </c>
      <c r="P502" s="40">
        <v>1</v>
      </c>
      <c r="Q502" s="33"/>
      <c r="R502" s="33"/>
      <c r="S502" s="33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</row>
    <row r="503" spans="1:48" s="18" customFormat="1" ht="18" customHeight="1">
      <c r="A503" s="50"/>
      <c r="B503" s="93" t="s">
        <v>670</v>
      </c>
      <c r="C503" s="16"/>
      <c r="D503" s="52"/>
      <c r="E503" s="51"/>
      <c r="F503" s="52"/>
      <c r="G503" s="52"/>
      <c r="H503" s="52"/>
      <c r="I503" s="52"/>
      <c r="J503" s="52"/>
      <c r="K503" s="52"/>
      <c r="L503" s="60" t="str">
        <f>L504</f>
        <v> -</v>
      </c>
      <c r="M503" s="60" t="str">
        <f>M504</f>
        <v> -</v>
      </c>
      <c r="N503" s="60" t="str">
        <f>N504</f>
        <v> -</v>
      </c>
      <c r="O503" s="60">
        <f>O504</f>
        <v>1</v>
      </c>
      <c r="P503" s="60">
        <f>P504</f>
        <v>1</v>
      </c>
      <c r="Q503" s="23"/>
      <c r="R503" s="23"/>
      <c r="S503" s="1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</row>
    <row r="504" spans="1:48" s="27" customFormat="1" ht="18.75" customHeight="1">
      <c r="A504" s="12"/>
      <c r="B504" s="97" t="s">
        <v>65</v>
      </c>
      <c r="C504" s="29" t="s">
        <v>66</v>
      </c>
      <c r="D504" s="51"/>
      <c r="E504" s="51"/>
      <c r="F504" s="51"/>
      <c r="G504" s="51"/>
      <c r="H504" s="51"/>
      <c r="I504" s="51"/>
      <c r="J504" s="51"/>
      <c r="K504" s="51"/>
      <c r="L504" s="40" t="s">
        <v>556</v>
      </c>
      <c r="M504" s="40" t="s">
        <v>556</v>
      </c>
      <c r="N504" s="40" t="s">
        <v>556</v>
      </c>
      <c r="O504" s="40">
        <v>1</v>
      </c>
      <c r="P504" s="40">
        <v>1</v>
      </c>
      <c r="Q504" s="33"/>
      <c r="R504" s="33"/>
      <c r="S504" s="33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</row>
    <row r="505" spans="1:188" s="57" customFormat="1" ht="18" customHeight="1">
      <c r="A505" s="13">
        <v>54</v>
      </c>
      <c r="B505" s="92" t="s">
        <v>188</v>
      </c>
      <c r="C505" s="45"/>
      <c r="D505" s="44"/>
      <c r="E505" s="44"/>
      <c r="F505" s="44"/>
      <c r="G505" s="44"/>
      <c r="H505" s="44"/>
      <c r="I505" s="44"/>
      <c r="J505" s="44"/>
      <c r="K505" s="44"/>
      <c r="L505" s="44">
        <f>SUM(L506,L485)</f>
        <v>1</v>
      </c>
      <c r="M505" s="44">
        <f>SUM(M506,M485)</f>
        <v>1</v>
      </c>
      <c r="N505" s="44">
        <f>SUM(N506,N485)</f>
        <v>1</v>
      </c>
      <c r="O505" s="44">
        <v>2</v>
      </c>
      <c r="P505" s="44">
        <v>2</v>
      </c>
      <c r="Q505" s="54" t="s">
        <v>648</v>
      </c>
      <c r="R505" s="54">
        <v>16</v>
      </c>
      <c r="S505" s="55" t="s">
        <v>906</v>
      </c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6"/>
      <c r="BG505" s="56"/>
      <c r="BH505" s="56"/>
      <c r="BI505" s="56"/>
      <c r="BJ505" s="56"/>
      <c r="BK505" s="56"/>
      <c r="BL505" s="56"/>
      <c r="BM505" s="56"/>
      <c r="BN505" s="56"/>
      <c r="BO505" s="56"/>
      <c r="BP505" s="56"/>
      <c r="BQ505" s="56"/>
      <c r="BR505" s="56"/>
      <c r="BS505" s="56"/>
      <c r="BT505" s="56"/>
      <c r="BU505" s="56"/>
      <c r="BV505" s="56"/>
      <c r="BW505" s="56"/>
      <c r="BX505" s="56"/>
      <c r="BY505" s="56"/>
      <c r="BZ505" s="56"/>
      <c r="CA505" s="56"/>
      <c r="CB505" s="56"/>
      <c r="CC505" s="56"/>
      <c r="CD505" s="56"/>
      <c r="CE505" s="56"/>
      <c r="CF505" s="56"/>
      <c r="CG505" s="56"/>
      <c r="CH505" s="56"/>
      <c r="CI505" s="56"/>
      <c r="CJ505" s="56"/>
      <c r="CK505" s="56"/>
      <c r="CL505" s="56"/>
      <c r="CM505" s="56"/>
      <c r="CN505" s="56"/>
      <c r="CO505" s="56"/>
      <c r="CP505" s="56"/>
      <c r="CQ505" s="56"/>
      <c r="CR505" s="56"/>
      <c r="CS505" s="56"/>
      <c r="CT505" s="56"/>
      <c r="CU505" s="56"/>
      <c r="CV505" s="56"/>
      <c r="CW505" s="56"/>
      <c r="CX505" s="56"/>
      <c r="CY505" s="56"/>
      <c r="CZ505" s="56"/>
      <c r="DA505" s="56"/>
      <c r="DB505" s="56"/>
      <c r="DC505" s="56"/>
      <c r="DD505" s="56"/>
      <c r="DE505" s="56"/>
      <c r="DF505" s="56"/>
      <c r="DG505" s="56"/>
      <c r="DH505" s="56"/>
      <c r="DI505" s="56"/>
      <c r="DJ505" s="56"/>
      <c r="DK505" s="56"/>
      <c r="DL505" s="56"/>
      <c r="DM505" s="56"/>
      <c r="DN505" s="56"/>
      <c r="DO505" s="56"/>
      <c r="DP505" s="56"/>
      <c r="DQ505" s="56"/>
      <c r="DR505" s="56"/>
      <c r="DS505" s="56"/>
      <c r="DT505" s="56"/>
      <c r="DU505" s="56"/>
      <c r="DV505" s="56"/>
      <c r="DW505" s="56"/>
      <c r="DX505" s="56"/>
      <c r="DY505" s="56"/>
      <c r="DZ505" s="56"/>
      <c r="EA505" s="56"/>
      <c r="EB505" s="56"/>
      <c r="EC505" s="56"/>
      <c r="ED505" s="56"/>
      <c r="EE505" s="56"/>
      <c r="EF505" s="56"/>
      <c r="EG505" s="56"/>
      <c r="EH505" s="56"/>
      <c r="EI505" s="56"/>
      <c r="EJ505" s="56"/>
      <c r="EK505" s="56"/>
      <c r="EL505" s="56"/>
      <c r="EM505" s="56"/>
      <c r="EN505" s="56"/>
      <c r="EO505" s="56"/>
      <c r="EP505" s="56"/>
      <c r="EQ505" s="56"/>
      <c r="ER505" s="56"/>
      <c r="ES505" s="56"/>
      <c r="ET505" s="56"/>
      <c r="EU505" s="56"/>
      <c r="EV505" s="56"/>
      <c r="EW505" s="56"/>
      <c r="EX505" s="56"/>
      <c r="EY505" s="56"/>
      <c r="EZ505" s="56"/>
      <c r="FA505" s="56"/>
      <c r="FB505" s="56"/>
      <c r="FC505" s="56"/>
      <c r="FD505" s="56"/>
      <c r="FE505" s="56"/>
      <c r="FF505" s="56"/>
      <c r="FG505" s="56"/>
      <c r="FH505" s="56"/>
      <c r="FI505" s="56"/>
      <c r="FJ505" s="56"/>
      <c r="FK505" s="56"/>
      <c r="FL505" s="56"/>
      <c r="FM505" s="56"/>
      <c r="FN505" s="56"/>
      <c r="FO505" s="56"/>
      <c r="FP505" s="56"/>
      <c r="FQ505" s="56"/>
      <c r="FR505" s="56"/>
      <c r="FS505" s="56"/>
      <c r="FT505" s="56"/>
      <c r="FU505" s="56"/>
      <c r="FV505" s="56"/>
      <c r="FW505" s="56"/>
      <c r="FX505" s="56"/>
      <c r="FY505" s="56"/>
      <c r="FZ505" s="56"/>
      <c r="GA505" s="56"/>
      <c r="GB505" s="56"/>
      <c r="GC505" s="56"/>
      <c r="GD505" s="56"/>
      <c r="GE505" s="56"/>
      <c r="GF505" s="56"/>
    </row>
    <row r="506" spans="1:48" s="18" customFormat="1" ht="18.75" customHeight="1">
      <c r="A506" s="50"/>
      <c r="B506" s="93" t="s">
        <v>669</v>
      </c>
      <c r="C506" s="16"/>
      <c r="D506" s="52"/>
      <c r="E506" s="52"/>
      <c r="F506" s="52"/>
      <c r="G506" s="52"/>
      <c r="H506" s="52"/>
      <c r="I506" s="52"/>
      <c r="J506" s="52"/>
      <c r="K506" s="52"/>
      <c r="L506" s="60">
        <f>SUM(L507:L508)</f>
        <v>1</v>
      </c>
      <c r="M506" s="60">
        <f>SUM(M507:M508)</f>
        <v>1</v>
      </c>
      <c r="N506" s="60">
        <f>SUM(N507:N508)</f>
        <v>1</v>
      </c>
      <c r="O506" s="60">
        <f>SUM(O507:O508)</f>
        <v>1</v>
      </c>
      <c r="P506" s="60">
        <f>SUM(P507:P508)</f>
        <v>1</v>
      </c>
      <c r="Q506" s="23"/>
      <c r="R506" s="23"/>
      <c r="S506" s="1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</row>
    <row r="507" spans="1:48" s="27" customFormat="1" ht="15.75" customHeight="1">
      <c r="A507" s="12"/>
      <c r="B507" s="97" t="s">
        <v>560</v>
      </c>
      <c r="C507" s="15" t="s">
        <v>1319</v>
      </c>
      <c r="D507" s="51"/>
      <c r="E507" s="51"/>
      <c r="F507" s="51"/>
      <c r="G507" s="51"/>
      <c r="H507" s="51"/>
      <c r="I507" s="51"/>
      <c r="J507" s="51"/>
      <c r="K507" s="51"/>
      <c r="L507" s="40" t="s">
        <v>556</v>
      </c>
      <c r="M507" s="40" t="s">
        <v>556</v>
      </c>
      <c r="N507" s="40">
        <v>1</v>
      </c>
      <c r="O507" s="40" t="s">
        <v>556</v>
      </c>
      <c r="P507" s="40" t="s">
        <v>556</v>
      </c>
      <c r="Q507" s="33"/>
      <c r="R507" s="28"/>
      <c r="S507" s="2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</row>
    <row r="508" spans="1:48" s="27" customFormat="1" ht="15.75" customHeight="1">
      <c r="A508" s="12"/>
      <c r="B508" s="97" t="s">
        <v>594</v>
      </c>
      <c r="C508" s="29" t="s">
        <v>783</v>
      </c>
      <c r="D508" s="51"/>
      <c r="E508" s="51"/>
      <c r="F508" s="51"/>
      <c r="G508" s="51"/>
      <c r="H508" s="51"/>
      <c r="I508" s="51"/>
      <c r="J508" s="51"/>
      <c r="K508" s="51"/>
      <c r="L508" s="40">
        <v>1</v>
      </c>
      <c r="M508" s="40">
        <v>1</v>
      </c>
      <c r="N508" s="40" t="s">
        <v>556</v>
      </c>
      <c r="O508" s="40">
        <v>1</v>
      </c>
      <c r="P508" s="40">
        <v>1</v>
      </c>
      <c r="Q508" s="33"/>
      <c r="R508" s="33"/>
      <c r="S508" s="33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</row>
    <row r="509" spans="1:48" s="18" customFormat="1" ht="18" customHeight="1">
      <c r="A509" s="50"/>
      <c r="B509" s="93" t="s">
        <v>670</v>
      </c>
      <c r="C509" s="16"/>
      <c r="D509" s="52"/>
      <c r="E509" s="51"/>
      <c r="F509" s="52"/>
      <c r="G509" s="52"/>
      <c r="H509" s="52"/>
      <c r="I509" s="52"/>
      <c r="J509" s="52"/>
      <c r="K509" s="52"/>
      <c r="L509" s="60" t="str">
        <f>L510</f>
        <v> -</v>
      </c>
      <c r="M509" s="60" t="str">
        <f>M510</f>
        <v> -</v>
      </c>
      <c r="N509" s="60" t="str">
        <f>N510</f>
        <v> -</v>
      </c>
      <c r="O509" s="60">
        <f>O510</f>
        <v>1</v>
      </c>
      <c r="P509" s="60">
        <f>P510</f>
        <v>1</v>
      </c>
      <c r="Q509" s="23"/>
      <c r="R509" s="23"/>
      <c r="S509" s="1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</row>
    <row r="510" spans="1:48" s="27" customFormat="1" ht="18.75" customHeight="1">
      <c r="A510" s="12"/>
      <c r="B510" s="97" t="s">
        <v>65</v>
      </c>
      <c r="C510" s="29" t="s">
        <v>66</v>
      </c>
      <c r="D510" s="51"/>
      <c r="E510" s="51"/>
      <c r="F510" s="51"/>
      <c r="G510" s="51"/>
      <c r="H510" s="51"/>
      <c r="I510" s="51"/>
      <c r="J510" s="51"/>
      <c r="K510" s="51"/>
      <c r="L510" s="40" t="s">
        <v>556</v>
      </c>
      <c r="M510" s="40" t="s">
        <v>556</v>
      </c>
      <c r="N510" s="40" t="s">
        <v>556</v>
      </c>
      <c r="O510" s="40">
        <v>1</v>
      </c>
      <c r="P510" s="40">
        <v>1</v>
      </c>
      <c r="Q510" s="33"/>
      <c r="R510" s="33"/>
      <c r="S510" s="33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</row>
    <row r="511" spans="1:188" s="57" customFormat="1" ht="18" customHeight="1">
      <c r="A511" s="13">
        <v>55</v>
      </c>
      <c r="B511" s="92" t="s">
        <v>582</v>
      </c>
      <c r="C511" s="45"/>
      <c r="D511" s="44"/>
      <c r="E511" s="44"/>
      <c r="F511" s="44"/>
      <c r="G511" s="44"/>
      <c r="H511" s="44"/>
      <c r="I511" s="44"/>
      <c r="J511" s="44"/>
      <c r="K511" s="44"/>
      <c r="L511" s="44">
        <f>SUM(L512,L491)</f>
        <v>1</v>
      </c>
      <c r="M511" s="44">
        <v>1</v>
      </c>
      <c r="N511" s="44">
        <f>SUM(N512,N491)</f>
        <v>1</v>
      </c>
      <c r="O511" s="44">
        <v>2</v>
      </c>
      <c r="P511" s="44">
        <v>2</v>
      </c>
      <c r="Q511" s="54" t="s">
        <v>648</v>
      </c>
      <c r="R511" s="54">
        <v>16</v>
      </c>
      <c r="S511" s="55" t="s">
        <v>906</v>
      </c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  <c r="BE511" s="56"/>
      <c r="BF511" s="56"/>
      <c r="BG511" s="56"/>
      <c r="BH511" s="56"/>
      <c r="BI511" s="56"/>
      <c r="BJ511" s="56"/>
      <c r="BK511" s="56"/>
      <c r="BL511" s="56"/>
      <c r="BM511" s="56"/>
      <c r="BN511" s="56"/>
      <c r="BO511" s="56"/>
      <c r="BP511" s="56"/>
      <c r="BQ511" s="56"/>
      <c r="BR511" s="56"/>
      <c r="BS511" s="56"/>
      <c r="BT511" s="56"/>
      <c r="BU511" s="56"/>
      <c r="BV511" s="56"/>
      <c r="BW511" s="56"/>
      <c r="BX511" s="56"/>
      <c r="BY511" s="56"/>
      <c r="BZ511" s="56"/>
      <c r="CA511" s="56"/>
      <c r="CB511" s="56"/>
      <c r="CC511" s="56"/>
      <c r="CD511" s="56"/>
      <c r="CE511" s="56"/>
      <c r="CF511" s="56"/>
      <c r="CG511" s="56"/>
      <c r="CH511" s="56"/>
      <c r="CI511" s="56"/>
      <c r="CJ511" s="56"/>
      <c r="CK511" s="56"/>
      <c r="CL511" s="56"/>
      <c r="CM511" s="56"/>
      <c r="CN511" s="56"/>
      <c r="CO511" s="56"/>
      <c r="CP511" s="56"/>
      <c r="CQ511" s="56"/>
      <c r="CR511" s="56"/>
      <c r="CS511" s="56"/>
      <c r="CT511" s="56"/>
      <c r="CU511" s="56"/>
      <c r="CV511" s="56"/>
      <c r="CW511" s="56"/>
      <c r="CX511" s="56"/>
      <c r="CY511" s="56"/>
      <c r="CZ511" s="56"/>
      <c r="DA511" s="56"/>
      <c r="DB511" s="56"/>
      <c r="DC511" s="56"/>
      <c r="DD511" s="56"/>
      <c r="DE511" s="56"/>
      <c r="DF511" s="56"/>
      <c r="DG511" s="56"/>
      <c r="DH511" s="56"/>
      <c r="DI511" s="56"/>
      <c r="DJ511" s="56"/>
      <c r="DK511" s="56"/>
      <c r="DL511" s="56"/>
      <c r="DM511" s="56"/>
      <c r="DN511" s="56"/>
      <c r="DO511" s="56"/>
      <c r="DP511" s="56"/>
      <c r="DQ511" s="56"/>
      <c r="DR511" s="56"/>
      <c r="DS511" s="56"/>
      <c r="DT511" s="56"/>
      <c r="DU511" s="56"/>
      <c r="DV511" s="56"/>
      <c r="DW511" s="56"/>
      <c r="DX511" s="56"/>
      <c r="DY511" s="56"/>
      <c r="DZ511" s="56"/>
      <c r="EA511" s="56"/>
      <c r="EB511" s="56"/>
      <c r="EC511" s="56"/>
      <c r="ED511" s="56"/>
      <c r="EE511" s="56"/>
      <c r="EF511" s="56"/>
      <c r="EG511" s="56"/>
      <c r="EH511" s="56"/>
      <c r="EI511" s="56"/>
      <c r="EJ511" s="56"/>
      <c r="EK511" s="56"/>
      <c r="EL511" s="56"/>
      <c r="EM511" s="56"/>
      <c r="EN511" s="56"/>
      <c r="EO511" s="56"/>
      <c r="EP511" s="56"/>
      <c r="EQ511" s="56"/>
      <c r="ER511" s="56"/>
      <c r="ES511" s="56"/>
      <c r="ET511" s="56"/>
      <c r="EU511" s="56"/>
      <c r="EV511" s="56"/>
      <c r="EW511" s="56"/>
      <c r="EX511" s="56"/>
      <c r="EY511" s="56"/>
      <c r="EZ511" s="56"/>
      <c r="FA511" s="56"/>
      <c r="FB511" s="56"/>
      <c r="FC511" s="56"/>
      <c r="FD511" s="56"/>
      <c r="FE511" s="56"/>
      <c r="FF511" s="56"/>
      <c r="FG511" s="56"/>
      <c r="FH511" s="56"/>
      <c r="FI511" s="56"/>
      <c r="FJ511" s="56"/>
      <c r="FK511" s="56"/>
      <c r="FL511" s="56"/>
      <c r="FM511" s="56"/>
      <c r="FN511" s="56"/>
      <c r="FO511" s="56"/>
      <c r="FP511" s="56"/>
      <c r="FQ511" s="56"/>
      <c r="FR511" s="56"/>
      <c r="FS511" s="56"/>
      <c r="FT511" s="56"/>
      <c r="FU511" s="56"/>
      <c r="FV511" s="56"/>
      <c r="FW511" s="56"/>
      <c r="FX511" s="56"/>
      <c r="FY511" s="56"/>
      <c r="FZ511" s="56"/>
      <c r="GA511" s="56"/>
      <c r="GB511" s="56"/>
      <c r="GC511" s="56"/>
      <c r="GD511" s="56"/>
      <c r="GE511" s="56"/>
      <c r="GF511" s="56"/>
    </row>
    <row r="512" spans="1:48" s="18" customFormat="1" ht="18.75" customHeight="1">
      <c r="A512" s="50"/>
      <c r="B512" s="93" t="s">
        <v>669</v>
      </c>
      <c r="C512" s="16"/>
      <c r="D512" s="52"/>
      <c r="E512" s="52"/>
      <c r="F512" s="52"/>
      <c r="G512" s="52"/>
      <c r="H512" s="52"/>
      <c r="I512" s="52"/>
      <c r="J512" s="52"/>
      <c r="K512" s="52"/>
      <c r="L512" s="60">
        <f>SUM(L513:L514)</f>
        <v>1</v>
      </c>
      <c r="M512" s="60">
        <f>SUM(M513:M514)</f>
        <v>1</v>
      </c>
      <c r="N512" s="60">
        <f>SUM(N513:N514)</f>
        <v>1</v>
      </c>
      <c r="O512" s="60">
        <f>SUM(O513:O514)</f>
        <v>1</v>
      </c>
      <c r="P512" s="60">
        <f>SUM(P513:P514)</f>
        <v>1</v>
      </c>
      <c r="Q512" s="23"/>
      <c r="R512" s="23"/>
      <c r="S512" s="1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</row>
    <row r="513" spans="1:48" s="27" customFormat="1" ht="15.75" customHeight="1">
      <c r="A513" s="12"/>
      <c r="B513" s="97" t="s">
        <v>560</v>
      </c>
      <c r="C513" s="15" t="s">
        <v>1319</v>
      </c>
      <c r="D513" s="51"/>
      <c r="E513" s="51"/>
      <c r="F513" s="51"/>
      <c r="G513" s="51"/>
      <c r="H513" s="51"/>
      <c r="I513" s="51"/>
      <c r="J513" s="51"/>
      <c r="K513" s="51"/>
      <c r="L513" s="40" t="s">
        <v>556</v>
      </c>
      <c r="M513" s="40">
        <v>1</v>
      </c>
      <c r="N513" s="40" t="s">
        <v>556</v>
      </c>
      <c r="O513" s="40" t="s">
        <v>556</v>
      </c>
      <c r="P513" s="40" t="s">
        <v>556</v>
      </c>
      <c r="Q513" s="33"/>
      <c r="R513" s="28"/>
      <c r="S513" s="2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</row>
    <row r="514" spans="1:48" s="27" customFormat="1" ht="15.75" customHeight="1">
      <c r="A514" s="12"/>
      <c r="B514" s="97" t="s">
        <v>594</v>
      </c>
      <c r="C514" s="29" t="s">
        <v>783</v>
      </c>
      <c r="D514" s="51"/>
      <c r="E514" s="51"/>
      <c r="F514" s="51"/>
      <c r="G514" s="51"/>
      <c r="H514" s="51"/>
      <c r="I514" s="51"/>
      <c r="J514" s="51"/>
      <c r="K514" s="51"/>
      <c r="L514" s="40">
        <v>1</v>
      </c>
      <c r="M514" s="40" t="s">
        <v>556</v>
      </c>
      <c r="N514" s="40">
        <v>1</v>
      </c>
      <c r="O514" s="40">
        <v>1</v>
      </c>
      <c r="P514" s="40">
        <v>1</v>
      </c>
      <c r="Q514" s="33"/>
      <c r="R514" s="33"/>
      <c r="S514" s="33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</row>
    <row r="515" spans="1:48" s="18" customFormat="1" ht="18" customHeight="1">
      <c r="A515" s="50"/>
      <c r="B515" s="93" t="s">
        <v>670</v>
      </c>
      <c r="C515" s="16"/>
      <c r="D515" s="52"/>
      <c r="E515" s="51"/>
      <c r="F515" s="52"/>
      <c r="G515" s="52"/>
      <c r="H515" s="52"/>
      <c r="I515" s="52"/>
      <c r="J515" s="52"/>
      <c r="K515" s="52"/>
      <c r="L515" s="60" t="str">
        <f>L516</f>
        <v> -</v>
      </c>
      <c r="M515" s="60" t="str">
        <f>M516</f>
        <v> -</v>
      </c>
      <c r="N515" s="60" t="str">
        <f>N516</f>
        <v> -</v>
      </c>
      <c r="O515" s="60">
        <f>O516</f>
        <v>1</v>
      </c>
      <c r="P515" s="60">
        <f>P516</f>
        <v>1</v>
      </c>
      <c r="Q515" s="23"/>
      <c r="R515" s="23"/>
      <c r="S515" s="1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</row>
    <row r="516" spans="1:48" s="27" customFormat="1" ht="18.75" customHeight="1">
      <c r="A516" s="12"/>
      <c r="B516" s="97" t="s">
        <v>65</v>
      </c>
      <c r="C516" s="29" t="s">
        <v>66</v>
      </c>
      <c r="D516" s="51"/>
      <c r="E516" s="51"/>
      <c r="F516" s="51"/>
      <c r="G516" s="51"/>
      <c r="H516" s="51"/>
      <c r="I516" s="51"/>
      <c r="J516" s="51"/>
      <c r="K516" s="51"/>
      <c r="L516" s="40" t="s">
        <v>556</v>
      </c>
      <c r="M516" s="40" t="s">
        <v>556</v>
      </c>
      <c r="N516" s="40" t="s">
        <v>556</v>
      </c>
      <c r="O516" s="40">
        <v>1</v>
      </c>
      <c r="P516" s="40">
        <v>1</v>
      </c>
      <c r="Q516" s="33"/>
      <c r="R516" s="33"/>
      <c r="S516" s="33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</row>
    <row r="517" spans="1:188" s="57" customFormat="1" ht="20.25" customHeight="1">
      <c r="A517" s="13">
        <v>56</v>
      </c>
      <c r="B517" s="92" t="s">
        <v>187</v>
      </c>
      <c r="C517" s="45"/>
      <c r="D517" s="44">
        <v>99</v>
      </c>
      <c r="E517" s="44">
        <v>12</v>
      </c>
      <c r="F517" s="44"/>
      <c r="G517" s="44">
        <v>101</v>
      </c>
      <c r="H517" s="44">
        <v>101</v>
      </c>
      <c r="I517" s="44">
        <v>101</v>
      </c>
      <c r="J517" s="44">
        <v>101</v>
      </c>
      <c r="K517" s="44">
        <v>101</v>
      </c>
      <c r="L517" s="44">
        <f>SUM(L518,L520,L526)</f>
        <v>6</v>
      </c>
      <c r="M517" s="44">
        <f>SUM(M518,M520,M526)</f>
        <v>2</v>
      </c>
      <c r="N517" s="44">
        <f>SUM(N518,N520,N526)</f>
        <v>1</v>
      </c>
      <c r="O517" s="44">
        <f>SUM(O518,O520,O526)</f>
        <v>1</v>
      </c>
      <c r="P517" s="44">
        <f>SUM(P518,P520,P526)</f>
        <v>1</v>
      </c>
      <c r="Q517" s="54" t="s">
        <v>648</v>
      </c>
      <c r="R517" s="54">
        <v>16</v>
      </c>
      <c r="S517" s="55" t="s">
        <v>1277</v>
      </c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56"/>
      <c r="AT517" s="56"/>
      <c r="AU517" s="56"/>
      <c r="AV517" s="56"/>
      <c r="AW517" s="56"/>
      <c r="AX517" s="56"/>
      <c r="AY517" s="56"/>
      <c r="AZ517" s="56"/>
      <c r="BA517" s="56"/>
      <c r="BB517" s="56"/>
      <c r="BC517" s="56"/>
      <c r="BD517" s="56"/>
      <c r="BE517" s="56"/>
      <c r="BF517" s="56"/>
      <c r="BG517" s="56"/>
      <c r="BH517" s="56"/>
      <c r="BI517" s="56"/>
      <c r="BJ517" s="56"/>
      <c r="BK517" s="56"/>
      <c r="BL517" s="56"/>
      <c r="BM517" s="56"/>
      <c r="BN517" s="56"/>
      <c r="BO517" s="56"/>
      <c r="BP517" s="56"/>
      <c r="BQ517" s="56"/>
      <c r="BR517" s="56"/>
      <c r="BS517" s="56"/>
      <c r="BT517" s="56"/>
      <c r="BU517" s="56"/>
      <c r="BV517" s="56"/>
      <c r="BW517" s="56"/>
      <c r="BX517" s="56"/>
      <c r="BY517" s="56"/>
      <c r="BZ517" s="56"/>
      <c r="CA517" s="56"/>
      <c r="CB517" s="56"/>
      <c r="CC517" s="56"/>
      <c r="CD517" s="56"/>
      <c r="CE517" s="56"/>
      <c r="CF517" s="56"/>
      <c r="CG517" s="56"/>
      <c r="CH517" s="56"/>
      <c r="CI517" s="56"/>
      <c r="CJ517" s="56"/>
      <c r="CK517" s="56"/>
      <c r="CL517" s="56"/>
      <c r="CM517" s="56"/>
      <c r="CN517" s="56"/>
      <c r="CO517" s="56"/>
      <c r="CP517" s="56"/>
      <c r="CQ517" s="56"/>
      <c r="CR517" s="56"/>
      <c r="CS517" s="56"/>
      <c r="CT517" s="56"/>
      <c r="CU517" s="56"/>
      <c r="CV517" s="56"/>
      <c r="CW517" s="56"/>
      <c r="CX517" s="56"/>
      <c r="CY517" s="56"/>
      <c r="CZ517" s="56"/>
      <c r="DA517" s="56"/>
      <c r="DB517" s="56"/>
      <c r="DC517" s="56"/>
      <c r="DD517" s="56"/>
      <c r="DE517" s="56"/>
      <c r="DF517" s="56"/>
      <c r="DG517" s="56"/>
      <c r="DH517" s="56"/>
      <c r="DI517" s="56"/>
      <c r="DJ517" s="56"/>
      <c r="DK517" s="56"/>
      <c r="DL517" s="56"/>
      <c r="DM517" s="56"/>
      <c r="DN517" s="56"/>
      <c r="DO517" s="56"/>
      <c r="DP517" s="56"/>
      <c r="DQ517" s="56"/>
      <c r="DR517" s="56"/>
      <c r="DS517" s="56"/>
      <c r="DT517" s="56"/>
      <c r="DU517" s="56"/>
      <c r="DV517" s="56"/>
      <c r="DW517" s="56"/>
      <c r="DX517" s="56"/>
      <c r="DY517" s="56"/>
      <c r="DZ517" s="56"/>
      <c r="EA517" s="56"/>
      <c r="EB517" s="56"/>
      <c r="EC517" s="56"/>
      <c r="ED517" s="56"/>
      <c r="EE517" s="56"/>
      <c r="EF517" s="56"/>
      <c r="EG517" s="56"/>
      <c r="EH517" s="56"/>
      <c r="EI517" s="56"/>
      <c r="EJ517" s="56"/>
      <c r="EK517" s="56"/>
      <c r="EL517" s="56"/>
      <c r="EM517" s="56"/>
      <c r="EN517" s="56"/>
      <c r="EO517" s="56"/>
      <c r="EP517" s="56"/>
      <c r="EQ517" s="56"/>
      <c r="ER517" s="56"/>
      <c r="ES517" s="56"/>
      <c r="ET517" s="56"/>
      <c r="EU517" s="56"/>
      <c r="EV517" s="56"/>
      <c r="EW517" s="56"/>
      <c r="EX517" s="56"/>
      <c r="EY517" s="56"/>
      <c r="EZ517" s="56"/>
      <c r="FA517" s="56"/>
      <c r="FB517" s="56"/>
      <c r="FC517" s="56"/>
      <c r="FD517" s="56"/>
      <c r="FE517" s="56"/>
      <c r="FF517" s="56"/>
      <c r="FG517" s="56"/>
      <c r="FH517" s="56"/>
      <c r="FI517" s="56"/>
      <c r="FJ517" s="56"/>
      <c r="FK517" s="56"/>
      <c r="FL517" s="56"/>
      <c r="FM517" s="56"/>
      <c r="FN517" s="56"/>
      <c r="FO517" s="56"/>
      <c r="FP517" s="56"/>
      <c r="FQ517" s="56"/>
      <c r="FR517" s="56"/>
      <c r="FS517" s="56"/>
      <c r="FT517" s="56"/>
      <c r="FU517" s="56"/>
      <c r="FV517" s="56"/>
      <c r="FW517" s="56"/>
      <c r="FX517" s="56"/>
      <c r="FY517" s="56"/>
      <c r="FZ517" s="56"/>
      <c r="GA517" s="56"/>
      <c r="GB517" s="56"/>
      <c r="GC517" s="56"/>
      <c r="GD517" s="56"/>
      <c r="GE517" s="56"/>
      <c r="GF517" s="56"/>
    </row>
    <row r="518" spans="1:48" s="18" customFormat="1" ht="17.25" customHeight="1">
      <c r="A518" s="50"/>
      <c r="B518" s="93" t="s">
        <v>669</v>
      </c>
      <c r="C518" s="16"/>
      <c r="D518" s="52"/>
      <c r="E518" s="52"/>
      <c r="F518" s="52"/>
      <c r="G518" s="52"/>
      <c r="H518" s="52"/>
      <c r="I518" s="52"/>
      <c r="J518" s="52"/>
      <c r="K518" s="52"/>
      <c r="L518" s="60" t="s">
        <v>556</v>
      </c>
      <c r="M518" s="60" t="s">
        <v>556</v>
      </c>
      <c r="N518" s="60">
        <v>1</v>
      </c>
      <c r="O518" s="60">
        <v>1</v>
      </c>
      <c r="P518" s="60">
        <v>1</v>
      </c>
      <c r="Q518" s="23"/>
      <c r="R518" s="23"/>
      <c r="S518" s="1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</row>
    <row r="519" spans="1:48" s="18" customFormat="1" ht="18" customHeight="1">
      <c r="A519" s="50"/>
      <c r="B519" s="97" t="s">
        <v>1049</v>
      </c>
      <c r="C519" s="15" t="s">
        <v>1050</v>
      </c>
      <c r="D519" s="51"/>
      <c r="E519" s="51"/>
      <c r="F519" s="51"/>
      <c r="G519" s="51">
        <v>14</v>
      </c>
      <c r="H519" s="51">
        <v>14</v>
      </c>
      <c r="I519" s="51">
        <v>15</v>
      </c>
      <c r="J519" s="51">
        <v>15</v>
      </c>
      <c r="K519" s="51">
        <v>15</v>
      </c>
      <c r="L519" s="40" t="s">
        <v>556</v>
      </c>
      <c r="M519" s="40" t="s">
        <v>556</v>
      </c>
      <c r="N519" s="40">
        <v>1</v>
      </c>
      <c r="O519" s="40">
        <v>1</v>
      </c>
      <c r="P519" s="40">
        <v>1</v>
      </c>
      <c r="Q519" s="77"/>
      <c r="R519" s="77"/>
      <c r="S519" s="78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</row>
    <row r="520" spans="1:19" s="47" customFormat="1" ht="18" customHeight="1">
      <c r="A520" s="50"/>
      <c r="B520" s="93" t="s">
        <v>670</v>
      </c>
      <c r="C520" s="94"/>
      <c r="D520" s="60"/>
      <c r="E520" s="40"/>
      <c r="F520" s="60"/>
      <c r="G520" s="60"/>
      <c r="H520" s="60"/>
      <c r="I520" s="60"/>
      <c r="J520" s="60"/>
      <c r="K520" s="60"/>
      <c r="L520" s="60">
        <f>SUM(L521:L525)</f>
        <v>5</v>
      </c>
      <c r="M520" s="60">
        <f>SUM(M521:M525)</f>
        <v>2</v>
      </c>
      <c r="N520" s="60" t="s">
        <v>556</v>
      </c>
      <c r="O520" s="60" t="s">
        <v>556</v>
      </c>
      <c r="P520" s="60" t="s">
        <v>556</v>
      </c>
      <c r="Q520" s="95"/>
      <c r="R520" s="95"/>
      <c r="S520" s="96"/>
    </row>
    <row r="521" spans="1:48" s="27" customFormat="1" ht="18.75" customHeight="1">
      <c r="A521" s="12"/>
      <c r="B521" s="97" t="s">
        <v>566</v>
      </c>
      <c r="C521" s="15" t="s">
        <v>567</v>
      </c>
      <c r="D521" s="40"/>
      <c r="E521" s="40"/>
      <c r="F521" s="40"/>
      <c r="G521" s="40">
        <v>2</v>
      </c>
      <c r="H521" s="40">
        <v>2</v>
      </c>
      <c r="I521" s="40">
        <v>2</v>
      </c>
      <c r="J521" s="40">
        <v>2</v>
      </c>
      <c r="K521" s="40">
        <v>2</v>
      </c>
      <c r="L521" s="40" t="s">
        <v>556</v>
      </c>
      <c r="M521" s="40">
        <v>1</v>
      </c>
      <c r="N521" s="40" t="s">
        <v>556</v>
      </c>
      <c r="O521" s="40" t="s">
        <v>556</v>
      </c>
      <c r="P521" s="40" t="s">
        <v>556</v>
      </c>
      <c r="Q521" s="30"/>
      <c r="R521" s="30"/>
      <c r="S521" s="30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</row>
    <row r="522" spans="1:48" s="27" customFormat="1" ht="18.75" customHeight="1">
      <c r="A522" s="12"/>
      <c r="B522" s="97" t="s">
        <v>742</v>
      </c>
      <c r="C522" s="15" t="s">
        <v>743</v>
      </c>
      <c r="D522" s="40"/>
      <c r="E522" s="40"/>
      <c r="F522" s="40"/>
      <c r="G522" s="40">
        <v>2</v>
      </c>
      <c r="H522" s="40">
        <v>2</v>
      </c>
      <c r="I522" s="40">
        <v>2</v>
      </c>
      <c r="J522" s="40">
        <v>2</v>
      </c>
      <c r="K522" s="40">
        <v>2</v>
      </c>
      <c r="L522" s="40">
        <v>2</v>
      </c>
      <c r="M522" s="40">
        <v>1</v>
      </c>
      <c r="N522" s="40" t="s">
        <v>556</v>
      </c>
      <c r="O522" s="40" t="s">
        <v>556</v>
      </c>
      <c r="P522" s="40" t="s">
        <v>556</v>
      </c>
      <c r="Q522" s="30"/>
      <c r="R522" s="30"/>
      <c r="S522" s="30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</row>
    <row r="523" spans="1:19" s="48" customFormat="1" ht="18.75" customHeight="1">
      <c r="A523" s="12"/>
      <c r="B523" s="97" t="s">
        <v>1355</v>
      </c>
      <c r="C523" s="15" t="s">
        <v>1356</v>
      </c>
      <c r="D523" s="40"/>
      <c r="E523" s="40"/>
      <c r="F523" s="40"/>
      <c r="G523" s="51">
        <v>1</v>
      </c>
      <c r="H523" s="51">
        <v>1</v>
      </c>
      <c r="I523" s="51">
        <v>1</v>
      </c>
      <c r="J523" s="51">
        <v>1</v>
      </c>
      <c r="K523" s="51">
        <v>1</v>
      </c>
      <c r="L523" s="40">
        <v>1</v>
      </c>
      <c r="M523" s="40" t="s">
        <v>556</v>
      </c>
      <c r="N523" s="40" t="s">
        <v>556</v>
      </c>
      <c r="O523" s="40" t="s">
        <v>556</v>
      </c>
      <c r="P523" s="40" t="s">
        <v>556</v>
      </c>
      <c r="Q523" s="68"/>
      <c r="R523" s="68"/>
      <c r="S523" s="68"/>
    </row>
    <row r="524" spans="1:48" s="27" customFormat="1" ht="15.75" customHeight="1">
      <c r="A524" s="12"/>
      <c r="B524" s="97" t="s">
        <v>561</v>
      </c>
      <c r="C524" s="66" t="s">
        <v>804</v>
      </c>
      <c r="D524" s="51"/>
      <c r="E524" s="51"/>
      <c r="F524" s="51"/>
      <c r="G524" s="51">
        <v>1</v>
      </c>
      <c r="H524" s="51">
        <v>1</v>
      </c>
      <c r="I524" s="51">
        <v>1</v>
      </c>
      <c r="J524" s="51">
        <v>1</v>
      </c>
      <c r="K524" s="51">
        <v>1</v>
      </c>
      <c r="L524" s="40">
        <v>1</v>
      </c>
      <c r="M524" s="40" t="s">
        <v>556</v>
      </c>
      <c r="N524" s="40" t="s">
        <v>556</v>
      </c>
      <c r="O524" s="40" t="s">
        <v>556</v>
      </c>
      <c r="P524" s="40" t="s">
        <v>556</v>
      </c>
      <c r="Q524" s="33"/>
      <c r="R524" s="33"/>
      <c r="S524" s="33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</row>
    <row r="525" spans="1:48" s="27" customFormat="1" ht="18.75" customHeight="1">
      <c r="A525" s="12"/>
      <c r="B525" s="97" t="s">
        <v>1054</v>
      </c>
      <c r="C525" s="15" t="s">
        <v>1055</v>
      </c>
      <c r="D525" s="40"/>
      <c r="E525" s="40"/>
      <c r="F525" s="40"/>
      <c r="G525" s="40">
        <v>1</v>
      </c>
      <c r="H525" s="40">
        <v>1</v>
      </c>
      <c r="I525" s="40">
        <v>1</v>
      </c>
      <c r="J525" s="40">
        <v>1</v>
      </c>
      <c r="K525" s="40">
        <v>1</v>
      </c>
      <c r="L525" s="40">
        <v>1</v>
      </c>
      <c r="M525" s="40" t="s">
        <v>556</v>
      </c>
      <c r="N525" s="40" t="s">
        <v>556</v>
      </c>
      <c r="O525" s="40" t="s">
        <v>556</v>
      </c>
      <c r="P525" s="40" t="s">
        <v>556</v>
      </c>
      <c r="Q525" s="30"/>
      <c r="R525" s="30"/>
      <c r="S525" s="30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</row>
    <row r="526" spans="1:19" s="47" customFormat="1" ht="18.75" customHeight="1">
      <c r="A526" s="50"/>
      <c r="B526" s="93" t="s">
        <v>37</v>
      </c>
      <c r="C526" s="94"/>
      <c r="D526" s="60"/>
      <c r="E526" s="40"/>
      <c r="F526" s="60"/>
      <c r="G526" s="60"/>
      <c r="H526" s="60"/>
      <c r="I526" s="60"/>
      <c r="J526" s="60"/>
      <c r="K526" s="60"/>
      <c r="L526" s="60">
        <v>1</v>
      </c>
      <c r="M526" s="60" t="s">
        <v>556</v>
      </c>
      <c r="N526" s="60" t="s">
        <v>556</v>
      </c>
      <c r="O526" s="60" t="s">
        <v>556</v>
      </c>
      <c r="P526" s="60" t="s">
        <v>556</v>
      </c>
      <c r="Q526" s="95"/>
      <c r="R526" s="95"/>
      <c r="S526" s="96"/>
    </row>
    <row r="527" spans="1:19" s="48" customFormat="1" ht="18.75" customHeight="1">
      <c r="A527" s="12"/>
      <c r="B527" s="97" t="s">
        <v>1357</v>
      </c>
      <c r="C527" s="15" t="s">
        <v>1358</v>
      </c>
      <c r="D527" s="40"/>
      <c r="E527" s="40"/>
      <c r="F527" s="40"/>
      <c r="G527" s="40">
        <v>1</v>
      </c>
      <c r="H527" s="40">
        <v>1</v>
      </c>
      <c r="I527" s="40">
        <v>1</v>
      </c>
      <c r="J527" s="40">
        <v>1</v>
      </c>
      <c r="K527" s="40">
        <v>1</v>
      </c>
      <c r="L527" s="40">
        <v>1</v>
      </c>
      <c r="M527" s="40" t="s">
        <v>556</v>
      </c>
      <c r="N527" s="40" t="s">
        <v>556</v>
      </c>
      <c r="O527" s="40" t="s">
        <v>556</v>
      </c>
      <c r="P527" s="40" t="s">
        <v>556</v>
      </c>
      <c r="Q527" s="68"/>
      <c r="R527" s="68"/>
      <c r="S527" s="68"/>
    </row>
    <row r="528" spans="1:188" s="57" customFormat="1" ht="18" customHeight="1">
      <c r="A528" s="13">
        <v>57</v>
      </c>
      <c r="B528" s="92" t="s">
        <v>189</v>
      </c>
      <c r="C528" s="45"/>
      <c r="D528" s="44">
        <v>32</v>
      </c>
      <c r="E528" s="44">
        <v>1</v>
      </c>
      <c r="F528" s="44">
        <v>34</v>
      </c>
      <c r="G528" s="44">
        <v>33</v>
      </c>
      <c r="H528" s="44">
        <v>33</v>
      </c>
      <c r="I528" s="44">
        <v>34</v>
      </c>
      <c r="J528" s="44"/>
      <c r="K528" s="44">
        <v>35</v>
      </c>
      <c r="L528" s="44">
        <f>L529</f>
        <v>1</v>
      </c>
      <c r="M528" s="44">
        <f>M529</f>
        <v>1</v>
      </c>
      <c r="N528" s="44">
        <f>N529</f>
        <v>1</v>
      </c>
      <c r="O528" s="44">
        <f>O529</f>
        <v>2</v>
      </c>
      <c r="P528" s="44">
        <f>P529</f>
        <v>2</v>
      </c>
      <c r="Q528" s="54" t="s">
        <v>649</v>
      </c>
      <c r="R528" s="54">
        <v>16</v>
      </c>
      <c r="S528" s="59" t="s">
        <v>919</v>
      </c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  <c r="BB528" s="56"/>
      <c r="BC528" s="56"/>
      <c r="BD528" s="56"/>
      <c r="BE528" s="56"/>
      <c r="BF528" s="56"/>
      <c r="BG528" s="56"/>
      <c r="BH528" s="56"/>
      <c r="BI528" s="56"/>
      <c r="BJ528" s="56"/>
      <c r="BK528" s="56"/>
      <c r="BL528" s="56"/>
      <c r="BM528" s="56"/>
      <c r="BN528" s="56"/>
      <c r="BO528" s="56"/>
      <c r="BP528" s="56"/>
      <c r="BQ528" s="56"/>
      <c r="BR528" s="56"/>
      <c r="BS528" s="56"/>
      <c r="BT528" s="56"/>
      <c r="BU528" s="56"/>
      <c r="BV528" s="56"/>
      <c r="BW528" s="56"/>
      <c r="BX528" s="56"/>
      <c r="BY528" s="56"/>
      <c r="BZ528" s="56"/>
      <c r="CA528" s="56"/>
      <c r="CB528" s="56"/>
      <c r="CC528" s="56"/>
      <c r="CD528" s="56"/>
      <c r="CE528" s="56"/>
      <c r="CF528" s="56"/>
      <c r="CG528" s="56"/>
      <c r="CH528" s="56"/>
      <c r="CI528" s="56"/>
      <c r="CJ528" s="56"/>
      <c r="CK528" s="56"/>
      <c r="CL528" s="56"/>
      <c r="CM528" s="56"/>
      <c r="CN528" s="56"/>
      <c r="CO528" s="56"/>
      <c r="CP528" s="56"/>
      <c r="CQ528" s="56"/>
      <c r="CR528" s="56"/>
      <c r="CS528" s="56"/>
      <c r="CT528" s="56"/>
      <c r="CU528" s="56"/>
      <c r="CV528" s="56"/>
      <c r="CW528" s="56"/>
      <c r="CX528" s="56"/>
      <c r="CY528" s="56"/>
      <c r="CZ528" s="56"/>
      <c r="DA528" s="56"/>
      <c r="DB528" s="56"/>
      <c r="DC528" s="56"/>
      <c r="DD528" s="56"/>
      <c r="DE528" s="56"/>
      <c r="DF528" s="56"/>
      <c r="DG528" s="56"/>
      <c r="DH528" s="56"/>
      <c r="DI528" s="56"/>
      <c r="DJ528" s="56"/>
      <c r="DK528" s="56"/>
      <c r="DL528" s="56"/>
      <c r="DM528" s="56"/>
      <c r="DN528" s="56"/>
      <c r="DO528" s="56"/>
      <c r="DP528" s="56"/>
      <c r="DQ528" s="56"/>
      <c r="DR528" s="56"/>
      <c r="DS528" s="56"/>
      <c r="DT528" s="56"/>
      <c r="DU528" s="56"/>
      <c r="DV528" s="56"/>
      <c r="DW528" s="56"/>
      <c r="DX528" s="56"/>
      <c r="DY528" s="56"/>
      <c r="DZ528" s="56"/>
      <c r="EA528" s="56"/>
      <c r="EB528" s="56"/>
      <c r="EC528" s="56"/>
      <c r="ED528" s="56"/>
      <c r="EE528" s="56"/>
      <c r="EF528" s="56"/>
      <c r="EG528" s="56"/>
      <c r="EH528" s="56"/>
      <c r="EI528" s="56"/>
      <c r="EJ528" s="56"/>
      <c r="EK528" s="56"/>
      <c r="EL528" s="56"/>
      <c r="EM528" s="56"/>
      <c r="EN528" s="56"/>
      <c r="EO528" s="56"/>
      <c r="EP528" s="56"/>
      <c r="EQ528" s="56"/>
      <c r="ER528" s="56"/>
      <c r="ES528" s="56"/>
      <c r="ET528" s="56"/>
      <c r="EU528" s="56"/>
      <c r="EV528" s="56"/>
      <c r="EW528" s="56"/>
      <c r="EX528" s="56"/>
      <c r="EY528" s="56"/>
      <c r="EZ528" s="56"/>
      <c r="FA528" s="56"/>
      <c r="FB528" s="56"/>
      <c r="FC528" s="56"/>
      <c r="FD528" s="56"/>
      <c r="FE528" s="56"/>
      <c r="FF528" s="56"/>
      <c r="FG528" s="56"/>
      <c r="FH528" s="56"/>
      <c r="FI528" s="56"/>
      <c r="FJ528" s="56"/>
      <c r="FK528" s="56"/>
      <c r="FL528" s="56"/>
      <c r="FM528" s="56"/>
      <c r="FN528" s="56"/>
      <c r="FO528" s="56"/>
      <c r="FP528" s="56"/>
      <c r="FQ528" s="56"/>
      <c r="FR528" s="56"/>
      <c r="FS528" s="56"/>
      <c r="FT528" s="56"/>
      <c r="FU528" s="56"/>
      <c r="FV528" s="56"/>
      <c r="FW528" s="56"/>
      <c r="FX528" s="56"/>
      <c r="FY528" s="56"/>
      <c r="FZ528" s="56"/>
      <c r="GA528" s="56"/>
      <c r="GB528" s="56"/>
      <c r="GC528" s="56"/>
      <c r="GD528" s="56"/>
      <c r="GE528" s="56"/>
      <c r="GF528" s="56"/>
    </row>
    <row r="529" spans="1:48" s="18" customFormat="1" ht="18" customHeight="1">
      <c r="A529" s="50"/>
      <c r="B529" s="93" t="s">
        <v>669</v>
      </c>
      <c r="C529" s="16"/>
      <c r="D529" s="52"/>
      <c r="E529" s="52"/>
      <c r="F529" s="52"/>
      <c r="G529" s="52"/>
      <c r="H529" s="52"/>
      <c r="I529" s="52"/>
      <c r="J529" s="52"/>
      <c r="K529" s="52"/>
      <c r="L529" s="60">
        <f>SUM(L530:L531)</f>
        <v>1</v>
      </c>
      <c r="M529" s="60">
        <f>SUM(M530:M531)</f>
        <v>1</v>
      </c>
      <c r="N529" s="60">
        <f>SUM(N530:N531)</f>
        <v>1</v>
      </c>
      <c r="O529" s="60">
        <f>SUM(O530:O531)</f>
        <v>2</v>
      </c>
      <c r="P529" s="60">
        <f>SUM(P530:P531)</f>
        <v>2</v>
      </c>
      <c r="Q529" s="23"/>
      <c r="R529" s="23"/>
      <c r="S529" s="1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</row>
    <row r="530" spans="1:48" s="27" customFormat="1" ht="17.25" customHeight="1">
      <c r="A530" s="12"/>
      <c r="B530" s="97" t="s">
        <v>560</v>
      </c>
      <c r="C530" s="15" t="s">
        <v>1319</v>
      </c>
      <c r="D530" s="51"/>
      <c r="E530" s="51"/>
      <c r="F530" s="51"/>
      <c r="G530" s="51"/>
      <c r="H530" s="51"/>
      <c r="I530" s="51"/>
      <c r="J530" s="51"/>
      <c r="K530" s="51"/>
      <c r="L530" s="40" t="s">
        <v>556</v>
      </c>
      <c r="M530" s="40">
        <v>1</v>
      </c>
      <c r="N530" s="40" t="s">
        <v>556</v>
      </c>
      <c r="O530" s="40">
        <v>1</v>
      </c>
      <c r="P530" s="40">
        <v>1</v>
      </c>
      <c r="Q530" s="33"/>
      <c r="R530" s="33"/>
      <c r="S530" s="33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</row>
    <row r="531" spans="1:48" s="27" customFormat="1" ht="17.25" customHeight="1">
      <c r="A531" s="12"/>
      <c r="B531" s="97" t="s">
        <v>594</v>
      </c>
      <c r="C531" s="29" t="s">
        <v>783</v>
      </c>
      <c r="D531" s="51"/>
      <c r="E531" s="51"/>
      <c r="F531" s="51"/>
      <c r="G531" s="51"/>
      <c r="H531" s="51"/>
      <c r="I531" s="51"/>
      <c r="J531" s="51"/>
      <c r="K531" s="51"/>
      <c r="L531" s="40">
        <v>1</v>
      </c>
      <c r="M531" s="40" t="s">
        <v>556</v>
      </c>
      <c r="N531" s="40">
        <v>1</v>
      </c>
      <c r="O531" s="40">
        <v>1</v>
      </c>
      <c r="P531" s="40">
        <v>1</v>
      </c>
      <c r="Q531" s="33"/>
      <c r="R531" s="33"/>
      <c r="S531" s="33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</row>
    <row r="532" spans="1:188" s="57" customFormat="1" ht="18" customHeight="1">
      <c r="A532" s="13">
        <v>58</v>
      </c>
      <c r="B532" s="92" t="s">
        <v>190</v>
      </c>
      <c r="C532" s="45"/>
      <c r="D532" s="44">
        <v>40</v>
      </c>
      <c r="E532" s="44">
        <v>7</v>
      </c>
      <c r="F532" s="44"/>
      <c r="G532" s="44">
        <v>37</v>
      </c>
      <c r="H532" s="44">
        <v>40</v>
      </c>
      <c r="I532" s="44">
        <v>37</v>
      </c>
      <c r="J532" s="44">
        <v>40</v>
      </c>
      <c r="K532" s="44">
        <v>40</v>
      </c>
      <c r="L532" s="44">
        <f>L533</f>
        <v>4</v>
      </c>
      <c r="M532" s="44" t="str">
        <f>M533</f>
        <v> -</v>
      </c>
      <c r="N532" s="44">
        <f>N533</f>
        <v>3</v>
      </c>
      <c r="O532" s="44" t="str">
        <f>O533</f>
        <v> -</v>
      </c>
      <c r="P532" s="44" t="str">
        <f>P533</f>
        <v> -</v>
      </c>
      <c r="Q532" s="54" t="s">
        <v>649</v>
      </c>
      <c r="R532" s="54">
        <v>16</v>
      </c>
      <c r="S532" s="59" t="s">
        <v>919</v>
      </c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56"/>
      <c r="AT532" s="56"/>
      <c r="AU532" s="56"/>
      <c r="AV532" s="56"/>
      <c r="AW532" s="56"/>
      <c r="AX532" s="56"/>
      <c r="AY532" s="56"/>
      <c r="AZ532" s="56"/>
      <c r="BA532" s="56"/>
      <c r="BB532" s="56"/>
      <c r="BC532" s="56"/>
      <c r="BD532" s="56"/>
      <c r="BE532" s="56"/>
      <c r="BF532" s="56"/>
      <c r="BG532" s="56"/>
      <c r="BH532" s="56"/>
      <c r="BI532" s="56"/>
      <c r="BJ532" s="56"/>
      <c r="BK532" s="56"/>
      <c r="BL532" s="56"/>
      <c r="BM532" s="56"/>
      <c r="BN532" s="56"/>
      <c r="BO532" s="56"/>
      <c r="BP532" s="56"/>
      <c r="BQ532" s="56"/>
      <c r="BR532" s="56"/>
      <c r="BS532" s="56"/>
      <c r="BT532" s="56"/>
      <c r="BU532" s="56"/>
      <c r="BV532" s="56"/>
      <c r="BW532" s="56"/>
      <c r="BX532" s="56"/>
      <c r="BY532" s="56"/>
      <c r="BZ532" s="56"/>
      <c r="CA532" s="56"/>
      <c r="CB532" s="56"/>
      <c r="CC532" s="56"/>
      <c r="CD532" s="56"/>
      <c r="CE532" s="56"/>
      <c r="CF532" s="56"/>
      <c r="CG532" s="56"/>
      <c r="CH532" s="56"/>
      <c r="CI532" s="56"/>
      <c r="CJ532" s="56"/>
      <c r="CK532" s="56"/>
      <c r="CL532" s="56"/>
      <c r="CM532" s="56"/>
      <c r="CN532" s="56"/>
      <c r="CO532" s="56"/>
      <c r="CP532" s="56"/>
      <c r="CQ532" s="56"/>
      <c r="CR532" s="56"/>
      <c r="CS532" s="56"/>
      <c r="CT532" s="56"/>
      <c r="CU532" s="56"/>
      <c r="CV532" s="56"/>
      <c r="CW532" s="56"/>
      <c r="CX532" s="56"/>
      <c r="CY532" s="56"/>
      <c r="CZ532" s="56"/>
      <c r="DA532" s="56"/>
      <c r="DB532" s="56"/>
      <c r="DC532" s="56"/>
      <c r="DD532" s="56"/>
      <c r="DE532" s="56"/>
      <c r="DF532" s="56"/>
      <c r="DG532" s="56"/>
      <c r="DH532" s="56"/>
      <c r="DI532" s="56"/>
      <c r="DJ532" s="56"/>
      <c r="DK532" s="56"/>
      <c r="DL532" s="56"/>
      <c r="DM532" s="56"/>
      <c r="DN532" s="56"/>
      <c r="DO532" s="56"/>
      <c r="DP532" s="56"/>
      <c r="DQ532" s="56"/>
      <c r="DR532" s="56"/>
      <c r="DS532" s="56"/>
      <c r="DT532" s="56"/>
      <c r="DU532" s="56"/>
      <c r="DV532" s="56"/>
      <c r="DW532" s="56"/>
      <c r="DX532" s="56"/>
      <c r="DY532" s="56"/>
      <c r="DZ532" s="56"/>
      <c r="EA532" s="56"/>
      <c r="EB532" s="56"/>
      <c r="EC532" s="56"/>
      <c r="ED532" s="56"/>
      <c r="EE532" s="56"/>
      <c r="EF532" s="56"/>
      <c r="EG532" s="56"/>
      <c r="EH532" s="56"/>
      <c r="EI532" s="56"/>
      <c r="EJ532" s="56"/>
      <c r="EK532" s="56"/>
      <c r="EL532" s="56"/>
      <c r="EM532" s="56"/>
      <c r="EN532" s="56"/>
      <c r="EO532" s="56"/>
      <c r="EP532" s="56"/>
      <c r="EQ532" s="56"/>
      <c r="ER532" s="56"/>
      <c r="ES532" s="56"/>
      <c r="ET532" s="56"/>
      <c r="EU532" s="56"/>
      <c r="EV532" s="56"/>
      <c r="EW532" s="56"/>
      <c r="EX532" s="56"/>
      <c r="EY532" s="56"/>
      <c r="EZ532" s="56"/>
      <c r="FA532" s="56"/>
      <c r="FB532" s="56"/>
      <c r="FC532" s="56"/>
      <c r="FD532" s="56"/>
      <c r="FE532" s="56"/>
      <c r="FF532" s="56"/>
      <c r="FG532" s="56"/>
      <c r="FH532" s="56"/>
      <c r="FI532" s="56"/>
      <c r="FJ532" s="56"/>
      <c r="FK532" s="56"/>
      <c r="FL532" s="56"/>
      <c r="FM532" s="56"/>
      <c r="FN532" s="56"/>
      <c r="FO532" s="56"/>
      <c r="FP532" s="56"/>
      <c r="FQ532" s="56"/>
      <c r="FR532" s="56"/>
      <c r="FS532" s="56"/>
      <c r="FT532" s="56"/>
      <c r="FU532" s="56"/>
      <c r="FV532" s="56"/>
      <c r="FW532" s="56"/>
      <c r="FX532" s="56"/>
      <c r="FY532" s="56"/>
      <c r="FZ532" s="56"/>
      <c r="GA532" s="56"/>
      <c r="GB532" s="56"/>
      <c r="GC532" s="56"/>
      <c r="GD532" s="56"/>
      <c r="GE532" s="56"/>
      <c r="GF532" s="56"/>
    </row>
    <row r="533" spans="1:48" s="18" customFormat="1" ht="17.25" customHeight="1">
      <c r="A533" s="50"/>
      <c r="B533" s="93" t="s">
        <v>669</v>
      </c>
      <c r="C533" s="16"/>
      <c r="D533" s="52"/>
      <c r="E533" s="52"/>
      <c r="F533" s="52"/>
      <c r="G533" s="52"/>
      <c r="H533" s="52"/>
      <c r="I533" s="52"/>
      <c r="J533" s="52"/>
      <c r="K533" s="52"/>
      <c r="L533" s="60">
        <f>SUM(L534:L536)</f>
        <v>4</v>
      </c>
      <c r="M533" s="60" t="s">
        <v>556</v>
      </c>
      <c r="N533" s="60">
        <v>3</v>
      </c>
      <c r="O533" s="60" t="s">
        <v>556</v>
      </c>
      <c r="P533" s="60" t="s">
        <v>556</v>
      </c>
      <c r="Q533" s="23"/>
      <c r="R533" s="23"/>
      <c r="S533" s="1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</row>
    <row r="534" spans="1:48" s="27" customFormat="1" ht="17.25" customHeight="1">
      <c r="A534" s="12"/>
      <c r="B534" s="97" t="s">
        <v>1047</v>
      </c>
      <c r="C534" s="29" t="s">
        <v>1048</v>
      </c>
      <c r="D534" s="51"/>
      <c r="E534" s="51"/>
      <c r="F534" s="51"/>
      <c r="G534" s="51">
        <v>9</v>
      </c>
      <c r="H534" s="51">
        <v>10</v>
      </c>
      <c r="I534" s="51">
        <v>10</v>
      </c>
      <c r="J534" s="51">
        <v>10</v>
      </c>
      <c r="K534" s="51">
        <v>10</v>
      </c>
      <c r="L534" s="40">
        <v>1</v>
      </c>
      <c r="M534" s="40" t="s">
        <v>556</v>
      </c>
      <c r="N534" s="40">
        <v>3</v>
      </c>
      <c r="O534" s="40" t="s">
        <v>556</v>
      </c>
      <c r="P534" s="40" t="s">
        <v>556</v>
      </c>
      <c r="Q534" s="33"/>
      <c r="R534" s="33"/>
      <c r="S534" s="33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</row>
    <row r="535" spans="1:48" s="27" customFormat="1" ht="17.25" customHeight="1">
      <c r="A535" s="12"/>
      <c r="B535" s="97" t="s">
        <v>1049</v>
      </c>
      <c r="C535" s="29" t="s">
        <v>1050</v>
      </c>
      <c r="D535" s="51"/>
      <c r="E535" s="51"/>
      <c r="F535" s="51"/>
      <c r="G535" s="51">
        <v>2</v>
      </c>
      <c r="H535" s="51">
        <v>4</v>
      </c>
      <c r="I535" s="51">
        <v>4</v>
      </c>
      <c r="J535" s="51">
        <v>4</v>
      </c>
      <c r="K535" s="51">
        <v>4</v>
      </c>
      <c r="L535" s="40">
        <v>2</v>
      </c>
      <c r="M535" s="40" t="s">
        <v>556</v>
      </c>
      <c r="N535" s="40" t="s">
        <v>556</v>
      </c>
      <c r="O535" s="40" t="s">
        <v>556</v>
      </c>
      <c r="P535" s="40" t="s">
        <v>556</v>
      </c>
      <c r="Q535" s="33"/>
      <c r="R535" s="33"/>
      <c r="S535" s="33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</row>
    <row r="536" spans="1:48" s="27" customFormat="1" ht="17.25" customHeight="1">
      <c r="A536" s="12"/>
      <c r="B536" s="97" t="s">
        <v>1051</v>
      </c>
      <c r="C536" s="29" t="s">
        <v>1052</v>
      </c>
      <c r="D536" s="51"/>
      <c r="E536" s="51"/>
      <c r="F536" s="51"/>
      <c r="G536" s="51">
        <v>8</v>
      </c>
      <c r="H536" s="51">
        <v>8</v>
      </c>
      <c r="I536" s="51">
        <v>8</v>
      </c>
      <c r="J536" s="51">
        <v>8</v>
      </c>
      <c r="K536" s="51">
        <v>8</v>
      </c>
      <c r="L536" s="40">
        <v>1</v>
      </c>
      <c r="M536" s="40" t="s">
        <v>556</v>
      </c>
      <c r="N536" s="40" t="s">
        <v>556</v>
      </c>
      <c r="O536" s="40" t="s">
        <v>556</v>
      </c>
      <c r="P536" s="40" t="s">
        <v>556</v>
      </c>
      <c r="Q536" s="33"/>
      <c r="R536" s="33"/>
      <c r="S536" s="33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</row>
    <row r="537" spans="1:19" ht="16.5" customHeight="1">
      <c r="A537" s="401" t="s">
        <v>627</v>
      </c>
      <c r="B537" s="401"/>
      <c r="C537" s="401"/>
      <c r="D537" s="401"/>
      <c r="E537" s="401"/>
      <c r="F537" s="401"/>
      <c r="G537" s="401"/>
      <c r="H537" s="401"/>
      <c r="I537" s="401"/>
      <c r="J537" s="401"/>
      <c r="K537" s="401"/>
      <c r="L537" s="401"/>
      <c r="M537" s="401"/>
      <c r="N537" s="401"/>
      <c r="O537" s="401"/>
      <c r="P537" s="401"/>
      <c r="Q537" s="20"/>
      <c r="R537" s="20"/>
      <c r="S537" s="7"/>
    </row>
    <row r="538" spans="1:19" ht="14.25" customHeight="1">
      <c r="A538" s="399" t="s">
        <v>661</v>
      </c>
      <c r="B538" s="399"/>
      <c r="C538" s="399"/>
      <c r="D538" s="399"/>
      <c r="E538" s="399"/>
      <c r="F538" s="399"/>
      <c r="G538" s="399"/>
      <c r="H538" s="399"/>
      <c r="I538" s="399"/>
      <c r="J538" s="399"/>
      <c r="K538" s="399"/>
      <c r="L538" s="399"/>
      <c r="M538" s="399"/>
      <c r="N538" s="399"/>
      <c r="O538" s="399"/>
      <c r="P538" s="399"/>
      <c r="Q538" s="20"/>
      <c r="R538" s="20"/>
      <c r="S538" s="7"/>
    </row>
    <row r="539" spans="1:19" ht="13.5" customHeight="1">
      <c r="A539" s="400" t="s">
        <v>909</v>
      </c>
      <c r="B539" s="400"/>
      <c r="C539" s="400"/>
      <c r="D539" s="400"/>
      <c r="E539" s="400"/>
      <c r="F539" s="400"/>
      <c r="G539" s="400"/>
      <c r="H539" s="400"/>
      <c r="I539" s="400"/>
      <c r="J539" s="400"/>
      <c r="K539" s="400"/>
      <c r="L539" s="400"/>
      <c r="M539" s="400"/>
      <c r="N539" s="400"/>
      <c r="O539" s="400"/>
      <c r="P539" s="400"/>
      <c r="Q539" s="21"/>
      <c r="R539" s="21"/>
      <c r="S539" s="8"/>
    </row>
    <row r="540" spans="1:188" s="57" customFormat="1" ht="18" customHeight="1">
      <c r="A540" s="13">
        <v>1</v>
      </c>
      <c r="B540" s="92" t="s">
        <v>970</v>
      </c>
      <c r="C540" s="45"/>
      <c r="D540" s="44">
        <v>35</v>
      </c>
      <c r="E540" s="44">
        <v>9</v>
      </c>
      <c r="F540" s="44"/>
      <c r="G540" s="44">
        <v>12</v>
      </c>
      <c r="H540" s="44">
        <v>12</v>
      </c>
      <c r="I540" s="44">
        <v>12</v>
      </c>
      <c r="J540" s="44">
        <v>12</v>
      </c>
      <c r="K540" s="44">
        <v>12</v>
      </c>
      <c r="L540" s="44">
        <f aca="true" t="shared" si="14" ref="L540:S540">L541</f>
        <v>5</v>
      </c>
      <c r="M540" s="44">
        <f t="shared" si="14"/>
        <v>3</v>
      </c>
      <c r="N540" s="44">
        <f t="shared" si="14"/>
        <v>2</v>
      </c>
      <c r="O540" s="44">
        <f t="shared" si="14"/>
        <v>1</v>
      </c>
      <c r="P540" s="44">
        <f t="shared" si="14"/>
        <v>1</v>
      </c>
      <c r="Q540" s="123">
        <f t="shared" si="14"/>
        <v>0</v>
      </c>
      <c r="R540" s="44">
        <f t="shared" si="14"/>
        <v>0</v>
      </c>
      <c r="S540" s="44">
        <f t="shared" si="14"/>
        <v>0</v>
      </c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  <c r="AV540" s="56"/>
      <c r="AW540" s="56"/>
      <c r="AX540" s="56"/>
      <c r="AY540" s="56"/>
      <c r="AZ540" s="56"/>
      <c r="BA540" s="56"/>
      <c r="BB540" s="56"/>
      <c r="BC540" s="56"/>
      <c r="BD540" s="56"/>
      <c r="BE540" s="56"/>
      <c r="BF540" s="56"/>
      <c r="BG540" s="56"/>
      <c r="BH540" s="56"/>
      <c r="BI540" s="56"/>
      <c r="BJ540" s="56"/>
      <c r="BK540" s="56"/>
      <c r="BL540" s="56"/>
      <c r="BM540" s="56"/>
      <c r="BN540" s="56"/>
      <c r="BO540" s="56"/>
      <c r="BP540" s="56"/>
      <c r="BQ540" s="56"/>
      <c r="BR540" s="56"/>
      <c r="BS540" s="56"/>
      <c r="BT540" s="56"/>
      <c r="BU540" s="56"/>
      <c r="BV540" s="56"/>
      <c r="BW540" s="56"/>
      <c r="BX540" s="56"/>
      <c r="BY540" s="56"/>
      <c r="BZ540" s="56"/>
      <c r="CA540" s="56"/>
      <c r="CB540" s="56"/>
      <c r="CC540" s="56"/>
      <c r="CD540" s="56"/>
      <c r="CE540" s="56"/>
      <c r="CF540" s="56"/>
      <c r="CG540" s="56"/>
      <c r="CH540" s="56"/>
      <c r="CI540" s="56"/>
      <c r="CJ540" s="56"/>
      <c r="CK540" s="56"/>
      <c r="CL540" s="56"/>
      <c r="CM540" s="56"/>
      <c r="CN540" s="56"/>
      <c r="CO540" s="56"/>
      <c r="CP540" s="56"/>
      <c r="CQ540" s="56"/>
      <c r="CR540" s="56"/>
      <c r="CS540" s="56"/>
      <c r="CT540" s="56"/>
      <c r="CU540" s="56"/>
      <c r="CV540" s="56"/>
      <c r="CW540" s="56"/>
      <c r="CX540" s="56"/>
      <c r="CY540" s="56"/>
      <c r="CZ540" s="56"/>
      <c r="DA540" s="56"/>
      <c r="DB540" s="56"/>
      <c r="DC540" s="56"/>
      <c r="DD540" s="56"/>
      <c r="DE540" s="56"/>
      <c r="DF540" s="56"/>
      <c r="DG540" s="56"/>
      <c r="DH540" s="56"/>
      <c r="DI540" s="56"/>
      <c r="DJ540" s="56"/>
      <c r="DK540" s="56"/>
      <c r="DL540" s="56"/>
      <c r="DM540" s="56"/>
      <c r="DN540" s="56"/>
      <c r="DO540" s="56"/>
      <c r="DP540" s="56"/>
      <c r="DQ540" s="56"/>
      <c r="DR540" s="56"/>
      <c r="DS540" s="56"/>
      <c r="DT540" s="56"/>
      <c r="DU540" s="56"/>
      <c r="DV540" s="56"/>
      <c r="DW540" s="56"/>
      <c r="DX540" s="56"/>
      <c r="DY540" s="56"/>
      <c r="DZ540" s="56"/>
      <c r="EA540" s="56"/>
      <c r="EB540" s="56"/>
      <c r="EC540" s="56"/>
      <c r="ED540" s="56"/>
      <c r="EE540" s="56"/>
      <c r="EF540" s="56"/>
      <c r="EG540" s="56"/>
      <c r="EH540" s="56"/>
      <c r="EI540" s="56"/>
      <c r="EJ540" s="56"/>
      <c r="EK540" s="56"/>
      <c r="EL540" s="56"/>
      <c r="EM540" s="56"/>
      <c r="EN540" s="56"/>
      <c r="EO540" s="56"/>
      <c r="EP540" s="56"/>
      <c r="EQ540" s="56"/>
      <c r="ER540" s="56"/>
      <c r="ES540" s="56"/>
      <c r="ET540" s="56"/>
      <c r="EU540" s="56"/>
      <c r="EV540" s="56"/>
      <c r="EW540" s="56"/>
      <c r="EX540" s="56"/>
      <c r="EY540" s="56"/>
      <c r="EZ540" s="56"/>
      <c r="FA540" s="56"/>
      <c r="FB540" s="56"/>
      <c r="FC540" s="56"/>
      <c r="FD540" s="56"/>
      <c r="FE540" s="56"/>
      <c r="FF540" s="56"/>
      <c r="FG540" s="56"/>
      <c r="FH540" s="56"/>
      <c r="FI540" s="56"/>
      <c r="FJ540" s="56"/>
      <c r="FK540" s="56"/>
      <c r="FL540" s="56"/>
      <c r="FM540" s="56"/>
      <c r="FN540" s="56"/>
      <c r="FO540" s="56"/>
      <c r="FP540" s="56"/>
      <c r="FQ540" s="56"/>
      <c r="FR540" s="56"/>
      <c r="FS540" s="56"/>
      <c r="FT540" s="56"/>
      <c r="FU540" s="56"/>
      <c r="FV540" s="56"/>
      <c r="FW540" s="56"/>
      <c r="FX540" s="56"/>
      <c r="FY540" s="56"/>
      <c r="FZ540" s="56"/>
      <c r="GA540" s="56"/>
      <c r="GB540" s="56"/>
      <c r="GC540" s="56"/>
      <c r="GD540" s="56"/>
      <c r="GE540" s="56"/>
      <c r="GF540" s="56"/>
    </row>
    <row r="541" spans="1:57" s="43" customFormat="1" ht="15.75">
      <c r="A541" s="13"/>
      <c r="B541" s="104" t="s">
        <v>669</v>
      </c>
      <c r="C541" s="15"/>
      <c r="D541" s="40"/>
      <c r="E541" s="40"/>
      <c r="F541" s="40"/>
      <c r="G541" s="40"/>
      <c r="H541" s="40"/>
      <c r="I541" s="40"/>
      <c r="J541" s="40"/>
      <c r="K541" s="40"/>
      <c r="L541" s="60">
        <f>SUM(L542:L543)</f>
        <v>5</v>
      </c>
      <c r="M541" s="60">
        <f>SUM(M542:M543)</f>
        <v>3</v>
      </c>
      <c r="N541" s="60">
        <f>SUM(N542:N543)</f>
        <v>2</v>
      </c>
      <c r="O541" s="60">
        <f>SUM(O542:O543)</f>
        <v>1</v>
      </c>
      <c r="P541" s="60">
        <f>SUM(P542:P543)</f>
        <v>1</v>
      </c>
      <c r="Q541" s="70"/>
      <c r="R541" s="41"/>
      <c r="S541" s="41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BA541" s="49"/>
      <c r="BB541" s="42"/>
      <c r="BC541" s="42"/>
      <c r="BD541" s="42"/>
      <c r="BE541" s="42"/>
    </row>
    <row r="542" spans="1:57" s="43" customFormat="1" ht="16.5" customHeight="1">
      <c r="A542" s="13"/>
      <c r="B542" s="105" t="s">
        <v>1034</v>
      </c>
      <c r="C542" s="15" t="s">
        <v>1035</v>
      </c>
      <c r="D542" s="40"/>
      <c r="E542" s="40"/>
      <c r="F542" s="40"/>
      <c r="G542" s="40"/>
      <c r="H542" s="40"/>
      <c r="I542" s="40"/>
      <c r="J542" s="40"/>
      <c r="K542" s="40"/>
      <c r="L542" s="40">
        <v>3</v>
      </c>
      <c r="M542" s="40">
        <v>1</v>
      </c>
      <c r="N542" s="40">
        <v>1</v>
      </c>
      <c r="O542" s="40" t="s">
        <v>556</v>
      </c>
      <c r="P542" s="40" t="s">
        <v>556</v>
      </c>
      <c r="Q542" s="70"/>
      <c r="R542" s="41"/>
      <c r="S542" s="41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BA542" s="49"/>
      <c r="BB542" s="42"/>
      <c r="BC542" s="42"/>
      <c r="BD542" s="42"/>
      <c r="BE542" s="42"/>
    </row>
    <row r="543" spans="1:57" s="43" customFormat="1" ht="16.5" customHeight="1">
      <c r="A543" s="13"/>
      <c r="B543" s="105" t="s">
        <v>1036</v>
      </c>
      <c r="C543" s="15" t="s">
        <v>1037</v>
      </c>
      <c r="D543" s="40"/>
      <c r="E543" s="40"/>
      <c r="F543" s="40"/>
      <c r="G543" s="40"/>
      <c r="H543" s="40"/>
      <c r="I543" s="40"/>
      <c r="J543" s="40"/>
      <c r="K543" s="40"/>
      <c r="L543" s="40">
        <v>2</v>
      </c>
      <c r="M543" s="40">
        <v>2</v>
      </c>
      <c r="N543" s="40">
        <v>1</v>
      </c>
      <c r="O543" s="40">
        <v>1</v>
      </c>
      <c r="P543" s="40">
        <v>1</v>
      </c>
      <c r="Q543" s="70"/>
      <c r="R543" s="41"/>
      <c r="S543" s="41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BA543" s="49"/>
      <c r="BB543" s="42"/>
      <c r="BC543" s="42"/>
      <c r="BD543" s="42"/>
      <c r="BE543" s="42"/>
    </row>
    <row r="544" spans="1:19" ht="14.25" customHeight="1">
      <c r="A544" s="399" t="s">
        <v>967</v>
      </c>
      <c r="B544" s="399"/>
      <c r="C544" s="399"/>
      <c r="D544" s="399"/>
      <c r="E544" s="399"/>
      <c r="F544" s="399"/>
      <c r="G544" s="399"/>
      <c r="H544" s="399"/>
      <c r="I544" s="399"/>
      <c r="J544" s="399"/>
      <c r="K544" s="399"/>
      <c r="L544" s="399"/>
      <c r="M544" s="399"/>
      <c r="N544" s="399"/>
      <c r="O544" s="399"/>
      <c r="P544" s="399"/>
      <c r="Q544" s="20"/>
      <c r="R544" s="20"/>
      <c r="S544" s="7"/>
    </row>
    <row r="545" spans="1:19" ht="13.5" customHeight="1">
      <c r="A545" s="400" t="s">
        <v>909</v>
      </c>
      <c r="B545" s="400"/>
      <c r="C545" s="400"/>
      <c r="D545" s="400"/>
      <c r="E545" s="400"/>
      <c r="F545" s="400"/>
      <c r="G545" s="400"/>
      <c r="H545" s="400"/>
      <c r="I545" s="400"/>
      <c r="J545" s="400"/>
      <c r="K545" s="400"/>
      <c r="L545" s="400"/>
      <c r="M545" s="400"/>
      <c r="N545" s="400"/>
      <c r="O545" s="400"/>
      <c r="P545" s="400"/>
      <c r="Q545" s="21"/>
      <c r="R545" s="21"/>
      <c r="S545" s="8"/>
    </row>
    <row r="546" spans="1:188" s="57" customFormat="1" ht="18" customHeight="1">
      <c r="A546" s="13">
        <v>2</v>
      </c>
      <c r="B546" s="92" t="s">
        <v>968</v>
      </c>
      <c r="C546" s="45"/>
      <c r="D546" s="44">
        <v>33</v>
      </c>
      <c r="E546" s="44">
        <v>6</v>
      </c>
      <c r="F546" s="44"/>
      <c r="G546" s="44">
        <v>12</v>
      </c>
      <c r="H546" s="44">
        <v>12</v>
      </c>
      <c r="I546" s="44">
        <v>12</v>
      </c>
      <c r="J546" s="44">
        <v>12</v>
      </c>
      <c r="K546" s="44">
        <v>12</v>
      </c>
      <c r="L546" s="44">
        <f>L547</f>
        <v>3</v>
      </c>
      <c r="M546" s="44">
        <f>M547</f>
        <v>3</v>
      </c>
      <c r="N546" s="44">
        <f>N547</f>
        <v>2</v>
      </c>
      <c r="O546" s="44">
        <f>O547</f>
        <v>1</v>
      </c>
      <c r="P546" s="44" t="s">
        <v>556</v>
      </c>
      <c r="Q546" s="123">
        <f>Q547</f>
        <v>0</v>
      </c>
      <c r="R546" s="44">
        <f>R547</f>
        <v>0</v>
      </c>
      <c r="S546" s="44">
        <f>S547</f>
        <v>0</v>
      </c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  <c r="AR546" s="56"/>
      <c r="AS546" s="56"/>
      <c r="AT546" s="56"/>
      <c r="AU546" s="56"/>
      <c r="AV546" s="56"/>
      <c r="AW546" s="56"/>
      <c r="AX546" s="56"/>
      <c r="AY546" s="56"/>
      <c r="AZ546" s="56"/>
      <c r="BA546" s="56"/>
      <c r="BB546" s="56"/>
      <c r="BC546" s="56"/>
      <c r="BD546" s="56"/>
      <c r="BE546" s="56"/>
      <c r="BF546" s="56"/>
      <c r="BG546" s="56"/>
      <c r="BH546" s="56"/>
      <c r="BI546" s="56"/>
      <c r="BJ546" s="56"/>
      <c r="BK546" s="56"/>
      <c r="BL546" s="56"/>
      <c r="BM546" s="56"/>
      <c r="BN546" s="56"/>
      <c r="BO546" s="56"/>
      <c r="BP546" s="56"/>
      <c r="BQ546" s="56"/>
      <c r="BR546" s="56"/>
      <c r="BS546" s="56"/>
      <c r="BT546" s="56"/>
      <c r="BU546" s="56"/>
      <c r="BV546" s="56"/>
      <c r="BW546" s="56"/>
      <c r="BX546" s="56"/>
      <c r="BY546" s="56"/>
      <c r="BZ546" s="56"/>
      <c r="CA546" s="56"/>
      <c r="CB546" s="56"/>
      <c r="CC546" s="56"/>
      <c r="CD546" s="56"/>
      <c r="CE546" s="56"/>
      <c r="CF546" s="56"/>
      <c r="CG546" s="56"/>
      <c r="CH546" s="56"/>
      <c r="CI546" s="56"/>
      <c r="CJ546" s="56"/>
      <c r="CK546" s="56"/>
      <c r="CL546" s="56"/>
      <c r="CM546" s="56"/>
      <c r="CN546" s="56"/>
      <c r="CO546" s="56"/>
      <c r="CP546" s="56"/>
      <c r="CQ546" s="56"/>
      <c r="CR546" s="56"/>
      <c r="CS546" s="56"/>
      <c r="CT546" s="56"/>
      <c r="CU546" s="56"/>
      <c r="CV546" s="56"/>
      <c r="CW546" s="56"/>
      <c r="CX546" s="56"/>
      <c r="CY546" s="56"/>
      <c r="CZ546" s="56"/>
      <c r="DA546" s="56"/>
      <c r="DB546" s="56"/>
      <c r="DC546" s="56"/>
      <c r="DD546" s="56"/>
      <c r="DE546" s="56"/>
      <c r="DF546" s="56"/>
      <c r="DG546" s="56"/>
      <c r="DH546" s="56"/>
      <c r="DI546" s="56"/>
      <c r="DJ546" s="56"/>
      <c r="DK546" s="56"/>
      <c r="DL546" s="56"/>
      <c r="DM546" s="56"/>
      <c r="DN546" s="56"/>
      <c r="DO546" s="56"/>
      <c r="DP546" s="56"/>
      <c r="DQ546" s="56"/>
      <c r="DR546" s="56"/>
      <c r="DS546" s="56"/>
      <c r="DT546" s="56"/>
      <c r="DU546" s="56"/>
      <c r="DV546" s="56"/>
      <c r="DW546" s="56"/>
      <c r="DX546" s="56"/>
      <c r="DY546" s="56"/>
      <c r="DZ546" s="56"/>
      <c r="EA546" s="56"/>
      <c r="EB546" s="56"/>
      <c r="EC546" s="56"/>
      <c r="ED546" s="56"/>
      <c r="EE546" s="56"/>
      <c r="EF546" s="56"/>
      <c r="EG546" s="56"/>
      <c r="EH546" s="56"/>
      <c r="EI546" s="56"/>
      <c r="EJ546" s="56"/>
      <c r="EK546" s="56"/>
      <c r="EL546" s="56"/>
      <c r="EM546" s="56"/>
      <c r="EN546" s="56"/>
      <c r="EO546" s="56"/>
      <c r="EP546" s="56"/>
      <c r="EQ546" s="56"/>
      <c r="ER546" s="56"/>
      <c r="ES546" s="56"/>
      <c r="ET546" s="56"/>
      <c r="EU546" s="56"/>
      <c r="EV546" s="56"/>
      <c r="EW546" s="56"/>
      <c r="EX546" s="56"/>
      <c r="EY546" s="56"/>
      <c r="EZ546" s="56"/>
      <c r="FA546" s="56"/>
      <c r="FB546" s="56"/>
      <c r="FC546" s="56"/>
      <c r="FD546" s="56"/>
      <c r="FE546" s="56"/>
      <c r="FF546" s="56"/>
      <c r="FG546" s="56"/>
      <c r="FH546" s="56"/>
      <c r="FI546" s="56"/>
      <c r="FJ546" s="56"/>
      <c r="FK546" s="56"/>
      <c r="FL546" s="56"/>
      <c r="FM546" s="56"/>
      <c r="FN546" s="56"/>
      <c r="FO546" s="56"/>
      <c r="FP546" s="56"/>
      <c r="FQ546" s="56"/>
      <c r="FR546" s="56"/>
      <c r="FS546" s="56"/>
      <c r="FT546" s="56"/>
      <c r="FU546" s="56"/>
      <c r="FV546" s="56"/>
      <c r="FW546" s="56"/>
      <c r="FX546" s="56"/>
      <c r="FY546" s="56"/>
      <c r="FZ546" s="56"/>
      <c r="GA546" s="56"/>
      <c r="GB546" s="56"/>
      <c r="GC546" s="56"/>
      <c r="GD546" s="56"/>
      <c r="GE546" s="56"/>
      <c r="GF546" s="56"/>
    </row>
    <row r="547" spans="1:57" s="43" customFormat="1" ht="15.75">
      <c r="A547" s="13"/>
      <c r="B547" s="104" t="s">
        <v>669</v>
      </c>
      <c r="C547" s="15"/>
      <c r="D547" s="40"/>
      <c r="E547" s="40"/>
      <c r="F547" s="40"/>
      <c r="G547" s="40"/>
      <c r="H547" s="40"/>
      <c r="I547" s="40"/>
      <c r="J547" s="40"/>
      <c r="K547" s="40"/>
      <c r="L547" s="60">
        <f>SUM(L548:L549)</f>
        <v>3</v>
      </c>
      <c r="M547" s="60">
        <f>SUM(M548:M549)</f>
        <v>3</v>
      </c>
      <c r="N547" s="60">
        <f>SUM(N548:N549)</f>
        <v>2</v>
      </c>
      <c r="O547" s="60">
        <f>SUM(O548:O549)</f>
        <v>1</v>
      </c>
      <c r="P547" s="60" t="str">
        <f>P548</f>
        <v> -</v>
      </c>
      <c r="Q547" s="70"/>
      <c r="R547" s="41"/>
      <c r="S547" s="41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BA547" s="49"/>
      <c r="BB547" s="42"/>
      <c r="BC547" s="42"/>
      <c r="BD547" s="42"/>
      <c r="BE547" s="42"/>
    </row>
    <row r="548" spans="1:57" s="43" customFormat="1" ht="16.5" customHeight="1">
      <c r="A548" s="13"/>
      <c r="B548" s="105" t="s">
        <v>1034</v>
      </c>
      <c r="C548" s="15" t="s">
        <v>1035</v>
      </c>
      <c r="D548" s="40"/>
      <c r="E548" s="40"/>
      <c r="F548" s="40"/>
      <c r="G548" s="40"/>
      <c r="H548" s="40"/>
      <c r="I548" s="40"/>
      <c r="J548" s="40"/>
      <c r="K548" s="40"/>
      <c r="L548" s="40">
        <v>2</v>
      </c>
      <c r="M548" s="40">
        <v>2</v>
      </c>
      <c r="N548" s="40">
        <v>1</v>
      </c>
      <c r="O548" s="40" t="s">
        <v>556</v>
      </c>
      <c r="P548" s="40" t="s">
        <v>556</v>
      </c>
      <c r="Q548" s="70"/>
      <c r="R548" s="41"/>
      <c r="S548" s="41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BA548" s="49"/>
      <c r="BB548" s="42"/>
      <c r="BC548" s="42"/>
      <c r="BD548" s="42"/>
      <c r="BE548" s="42"/>
    </row>
    <row r="549" spans="1:57" s="43" customFormat="1" ht="16.5" customHeight="1">
      <c r="A549" s="13"/>
      <c r="B549" s="105" t="s">
        <v>1036</v>
      </c>
      <c r="C549" s="15" t="s">
        <v>1037</v>
      </c>
      <c r="D549" s="40"/>
      <c r="E549" s="40"/>
      <c r="F549" s="40"/>
      <c r="G549" s="40"/>
      <c r="H549" s="40"/>
      <c r="I549" s="40"/>
      <c r="J549" s="40"/>
      <c r="K549" s="40"/>
      <c r="L549" s="40">
        <v>1</v>
      </c>
      <c r="M549" s="40">
        <v>1</v>
      </c>
      <c r="N549" s="40">
        <v>1</v>
      </c>
      <c r="O549" s="40">
        <v>1</v>
      </c>
      <c r="P549" s="40" t="s">
        <v>556</v>
      </c>
      <c r="Q549" s="70"/>
      <c r="R549" s="41"/>
      <c r="S549" s="41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BA549" s="49"/>
      <c r="BB549" s="42"/>
      <c r="BC549" s="42"/>
      <c r="BD549" s="42"/>
      <c r="BE549" s="42"/>
    </row>
    <row r="550" spans="1:19" ht="14.25" customHeight="1">
      <c r="A550" s="399" t="s">
        <v>659</v>
      </c>
      <c r="B550" s="399"/>
      <c r="C550" s="399"/>
      <c r="D550" s="399"/>
      <c r="E550" s="399"/>
      <c r="F550" s="399"/>
      <c r="G550" s="399"/>
      <c r="H550" s="399"/>
      <c r="I550" s="399"/>
      <c r="J550" s="399"/>
      <c r="K550" s="399"/>
      <c r="L550" s="399"/>
      <c r="M550" s="399"/>
      <c r="N550" s="399"/>
      <c r="O550" s="399"/>
      <c r="P550" s="399"/>
      <c r="Q550" s="20"/>
      <c r="R550" s="20"/>
      <c r="S550" s="7"/>
    </row>
    <row r="551" spans="1:19" ht="13.5" customHeight="1">
      <c r="A551" s="400" t="s">
        <v>909</v>
      </c>
      <c r="B551" s="400"/>
      <c r="C551" s="400"/>
      <c r="D551" s="400"/>
      <c r="E551" s="400"/>
      <c r="F551" s="400"/>
      <c r="G551" s="400"/>
      <c r="H551" s="400"/>
      <c r="I551" s="400"/>
      <c r="J551" s="400"/>
      <c r="K551" s="400"/>
      <c r="L551" s="400"/>
      <c r="M551" s="400"/>
      <c r="N551" s="400"/>
      <c r="O551" s="400"/>
      <c r="P551" s="400"/>
      <c r="Q551" s="21"/>
      <c r="R551" s="21"/>
      <c r="S551" s="8"/>
    </row>
    <row r="552" spans="1:188" s="57" customFormat="1" ht="18" customHeight="1">
      <c r="A552" s="13">
        <v>3</v>
      </c>
      <c r="B552" s="92" t="s">
        <v>775</v>
      </c>
      <c r="C552" s="45"/>
      <c r="D552" s="44">
        <v>15</v>
      </c>
      <c r="E552" s="44">
        <v>7</v>
      </c>
      <c r="F552" s="44">
        <v>40</v>
      </c>
      <c r="G552" s="44">
        <v>15</v>
      </c>
      <c r="H552" s="44">
        <v>15</v>
      </c>
      <c r="I552" s="44">
        <v>15</v>
      </c>
      <c r="J552" s="44">
        <v>15</v>
      </c>
      <c r="K552" s="44">
        <v>15</v>
      </c>
      <c r="L552" s="44" t="s">
        <v>556</v>
      </c>
      <c r="M552" s="44">
        <v>1</v>
      </c>
      <c r="N552" s="44">
        <v>1</v>
      </c>
      <c r="O552" s="44">
        <f>O553</f>
        <v>1</v>
      </c>
      <c r="P552" s="44">
        <f>P553</f>
        <v>1</v>
      </c>
      <c r="Q552" s="123">
        <f>Q553</f>
        <v>0</v>
      </c>
      <c r="R552" s="44">
        <f>R553</f>
        <v>0</v>
      </c>
      <c r="S552" s="44">
        <f>S553</f>
        <v>0</v>
      </c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56"/>
      <c r="AT552" s="56"/>
      <c r="AU552" s="56"/>
      <c r="AV552" s="56"/>
      <c r="AW552" s="56"/>
      <c r="AX552" s="56"/>
      <c r="AY552" s="56"/>
      <c r="AZ552" s="56"/>
      <c r="BA552" s="56"/>
      <c r="BB552" s="56"/>
      <c r="BC552" s="56"/>
      <c r="BD552" s="56"/>
      <c r="BE552" s="56"/>
      <c r="BF552" s="56"/>
      <c r="BG552" s="56"/>
      <c r="BH552" s="56"/>
      <c r="BI552" s="56"/>
      <c r="BJ552" s="56"/>
      <c r="BK552" s="56"/>
      <c r="BL552" s="56"/>
      <c r="BM552" s="56"/>
      <c r="BN552" s="56"/>
      <c r="BO552" s="56"/>
      <c r="BP552" s="56"/>
      <c r="BQ552" s="56"/>
      <c r="BR552" s="56"/>
      <c r="BS552" s="56"/>
      <c r="BT552" s="56"/>
      <c r="BU552" s="56"/>
      <c r="BV552" s="56"/>
      <c r="BW552" s="56"/>
      <c r="BX552" s="56"/>
      <c r="BY552" s="56"/>
      <c r="BZ552" s="56"/>
      <c r="CA552" s="56"/>
      <c r="CB552" s="56"/>
      <c r="CC552" s="56"/>
      <c r="CD552" s="56"/>
      <c r="CE552" s="56"/>
      <c r="CF552" s="56"/>
      <c r="CG552" s="56"/>
      <c r="CH552" s="56"/>
      <c r="CI552" s="56"/>
      <c r="CJ552" s="56"/>
      <c r="CK552" s="56"/>
      <c r="CL552" s="56"/>
      <c r="CM552" s="56"/>
      <c r="CN552" s="56"/>
      <c r="CO552" s="56"/>
      <c r="CP552" s="56"/>
      <c r="CQ552" s="56"/>
      <c r="CR552" s="56"/>
      <c r="CS552" s="56"/>
      <c r="CT552" s="56"/>
      <c r="CU552" s="56"/>
      <c r="CV552" s="56"/>
      <c r="CW552" s="56"/>
      <c r="CX552" s="56"/>
      <c r="CY552" s="56"/>
      <c r="CZ552" s="56"/>
      <c r="DA552" s="56"/>
      <c r="DB552" s="56"/>
      <c r="DC552" s="56"/>
      <c r="DD552" s="56"/>
      <c r="DE552" s="56"/>
      <c r="DF552" s="56"/>
      <c r="DG552" s="56"/>
      <c r="DH552" s="56"/>
      <c r="DI552" s="56"/>
      <c r="DJ552" s="56"/>
      <c r="DK552" s="56"/>
      <c r="DL552" s="56"/>
      <c r="DM552" s="56"/>
      <c r="DN552" s="56"/>
      <c r="DO552" s="56"/>
      <c r="DP552" s="56"/>
      <c r="DQ552" s="56"/>
      <c r="DR552" s="56"/>
      <c r="DS552" s="56"/>
      <c r="DT552" s="56"/>
      <c r="DU552" s="56"/>
      <c r="DV552" s="56"/>
      <c r="DW552" s="56"/>
      <c r="DX552" s="56"/>
      <c r="DY552" s="56"/>
      <c r="DZ552" s="56"/>
      <c r="EA552" s="56"/>
      <c r="EB552" s="56"/>
      <c r="EC552" s="56"/>
      <c r="ED552" s="56"/>
      <c r="EE552" s="56"/>
      <c r="EF552" s="56"/>
      <c r="EG552" s="56"/>
      <c r="EH552" s="56"/>
      <c r="EI552" s="56"/>
      <c r="EJ552" s="56"/>
      <c r="EK552" s="56"/>
      <c r="EL552" s="56"/>
      <c r="EM552" s="56"/>
      <c r="EN552" s="56"/>
      <c r="EO552" s="56"/>
      <c r="EP552" s="56"/>
      <c r="EQ552" s="56"/>
      <c r="ER552" s="56"/>
      <c r="ES552" s="56"/>
      <c r="ET552" s="56"/>
      <c r="EU552" s="56"/>
      <c r="EV552" s="56"/>
      <c r="EW552" s="56"/>
      <c r="EX552" s="56"/>
      <c r="EY552" s="56"/>
      <c r="EZ552" s="56"/>
      <c r="FA552" s="56"/>
      <c r="FB552" s="56"/>
      <c r="FC552" s="56"/>
      <c r="FD552" s="56"/>
      <c r="FE552" s="56"/>
      <c r="FF552" s="56"/>
      <c r="FG552" s="56"/>
      <c r="FH552" s="56"/>
      <c r="FI552" s="56"/>
      <c r="FJ552" s="56"/>
      <c r="FK552" s="56"/>
      <c r="FL552" s="56"/>
      <c r="FM552" s="56"/>
      <c r="FN552" s="56"/>
      <c r="FO552" s="56"/>
      <c r="FP552" s="56"/>
      <c r="FQ552" s="56"/>
      <c r="FR552" s="56"/>
      <c r="FS552" s="56"/>
      <c r="FT552" s="56"/>
      <c r="FU552" s="56"/>
      <c r="FV552" s="56"/>
      <c r="FW552" s="56"/>
      <c r="FX552" s="56"/>
      <c r="FY552" s="56"/>
      <c r="FZ552" s="56"/>
      <c r="GA552" s="56"/>
      <c r="GB552" s="56"/>
      <c r="GC552" s="56"/>
      <c r="GD552" s="56"/>
      <c r="GE552" s="56"/>
      <c r="GF552" s="56"/>
    </row>
    <row r="553" spans="1:57" s="43" customFormat="1" ht="15.75">
      <c r="A553" s="13"/>
      <c r="B553" s="104" t="s">
        <v>669</v>
      </c>
      <c r="C553" s="15"/>
      <c r="D553" s="40"/>
      <c r="E553" s="40"/>
      <c r="F553" s="40"/>
      <c r="G553" s="40"/>
      <c r="H553" s="40"/>
      <c r="I553" s="40"/>
      <c r="J553" s="40"/>
      <c r="K553" s="40"/>
      <c r="L553" s="60" t="str">
        <f>L554</f>
        <v> -</v>
      </c>
      <c r="M553" s="60">
        <f>M554</f>
        <v>1</v>
      </c>
      <c r="N553" s="60" t="str">
        <f>N554</f>
        <v> -</v>
      </c>
      <c r="O553" s="60">
        <f>O554</f>
        <v>1</v>
      </c>
      <c r="P553" s="60">
        <f>P554</f>
        <v>1</v>
      </c>
      <c r="Q553" s="70"/>
      <c r="R553" s="41"/>
      <c r="S553" s="41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BA553" s="49"/>
      <c r="BB553" s="42"/>
      <c r="BC553" s="42"/>
      <c r="BD553" s="42"/>
      <c r="BE553" s="42"/>
    </row>
    <row r="554" spans="1:57" s="43" customFormat="1" ht="16.5" customHeight="1">
      <c r="A554" s="13"/>
      <c r="B554" s="105" t="s">
        <v>1034</v>
      </c>
      <c r="C554" s="15" t="s">
        <v>1035</v>
      </c>
      <c r="D554" s="40"/>
      <c r="E554" s="40"/>
      <c r="F554" s="40"/>
      <c r="G554" s="40">
        <v>5</v>
      </c>
      <c r="H554" s="40">
        <v>5</v>
      </c>
      <c r="I554" s="40">
        <v>5</v>
      </c>
      <c r="J554" s="40">
        <v>5</v>
      </c>
      <c r="K554" s="40">
        <v>5</v>
      </c>
      <c r="L554" s="40" t="s">
        <v>556</v>
      </c>
      <c r="M554" s="40">
        <v>1</v>
      </c>
      <c r="N554" s="40" t="s">
        <v>556</v>
      </c>
      <c r="O554" s="40">
        <v>1</v>
      </c>
      <c r="P554" s="40">
        <v>1</v>
      </c>
      <c r="Q554" s="70"/>
      <c r="R554" s="41"/>
      <c r="S554" s="41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BA554" s="49"/>
      <c r="BB554" s="42"/>
      <c r="BC554" s="42"/>
      <c r="BD554" s="42"/>
      <c r="BE554" s="42"/>
    </row>
    <row r="555" spans="1:57" s="46" customFormat="1" ht="15.75">
      <c r="A555" s="12"/>
      <c r="B555" s="104" t="s">
        <v>670</v>
      </c>
      <c r="C555" s="15"/>
      <c r="D555" s="40"/>
      <c r="E555" s="40"/>
      <c r="F555" s="40"/>
      <c r="G555" s="40"/>
      <c r="H555" s="40"/>
      <c r="I555" s="40"/>
      <c r="J555" s="40"/>
      <c r="K555" s="40"/>
      <c r="L555" s="60" t="str">
        <f>L556</f>
        <v> -</v>
      </c>
      <c r="M555" s="60" t="str">
        <f>M556</f>
        <v> -</v>
      </c>
      <c r="N555" s="60">
        <f>N556</f>
        <v>1</v>
      </c>
      <c r="O555" s="60" t="str">
        <f>O556</f>
        <v> -</v>
      </c>
      <c r="P555" s="60" t="str">
        <f>P556</f>
        <v> -</v>
      </c>
      <c r="Q555" s="70"/>
      <c r="R555" s="41"/>
      <c r="S555" s="41"/>
      <c r="BA555" s="70"/>
      <c r="BB555" s="41"/>
      <c r="BC555" s="41"/>
      <c r="BD555" s="41"/>
      <c r="BE555" s="41"/>
    </row>
    <row r="556" spans="1:57" s="43" customFormat="1" ht="18.75" customHeight="1">
      <c r="A556" s="13"/>
      <c r="B556" s="105" t="s">
        <v>3</v>
      </c>
      <c r="C556" s="15" t="s">
        <v>4</v>
      </c>
      <c r="D556" s="40"/>
      <c r="E556" s="51"/>
      <c r="F556" s="40"/>
      <c r="G556" s="40">
        <v>2</v>
      </c>
      <c r="H556" s="40">
        <v>2</v>
      </c>
      <c r="I556" s="40">
        <v>2</v>
      </c>
      <c r="J556" s="40">
        <v>2</v>
      </c>
      <c r="K556" s="40">
        <v>2</v>
      </c>
      <c r="L556" s="40" t="s">
        <v>556</v>
      </c>
      <c r="M556" s="40" t="s">
        <v>556</v>
      </c>
      <c r="N556" s="40">
        <v>1</v>
      </c>
      <c r="O556" s="40" t="s">
        <v>556</v>
      </c>
      <c r="P556" s="40" t="s">
        <v>556</v>
      </c>
      <c r="Q556" s="70"/>
      <c r="R556" s="41"/>
      <c r="S556" s="41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BA556" s="49"/>
      <c r="BB556" s="42"/>
      <c r="BC556" s="42"/>
      <c r="BD556" s="42"/>
      <c r="BE556" s="42"/>
    </row>
    <row r="557" spans="1:188" s="57" customFormat="1" ht="18" customHeight="1">
      <c r="A557" s="13">
        <v>4</v>
      </c>
      <c r="B557" s="92" t="s">
        <v>776</v>
      </c>
      <c r="C557" s="45"/>
      <c r="D557" s="44">
        <v>12</v>
      </c>
      <c r="E557" s="44">
        <v>3</v>
      </c>
      <c r="F557" s="44"/>
      <c r="G557" s="44">
        <v>12</v>
      </c>
      <c r="H557" s="44">
        <v>12</v>
      </c>
      <c r="I557" s="44">
        <v>12</v>
      </c>
      <c r="J557" s="44">
        <v>12</v>
      </c>
      <c r="K557" s="44">
        <v>12</v>
      </c>
      <c r="L557" s="44">
        <v>1</v>
      </c>
      <c r="M557" s="44">
        <v>1</v>
      </c>
      <c r="N557" s="44">
        <v>1</v>
      </c>
      <c r="O557" s="44">
        <v>1</v>
      </c>
      <c r="P557" s="44" t="s">
        <v>556</v>
      </c>
      <c r="Q557" s="123">
        <f>Q558</f>
        <v>0</v>
      </c>
      <c r="R557" s="44">
        <f>R558</f>
        <v>0</v>
      </c>
      <c r="S557" s="44">
        <f>S558</f>
        <v>0</v>
      </c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  <c r="AR557" s="56"/>
      <c r="AS557" s="56"/>
      <c r="AT557" s="56"/>
      <c r="AU557" s="56"/>
      <c r="AV557" s="56"/>
      <c r="AW557" s="56"/>
      <c r="AX557" s="56"/>
      <c r="AY557" s="56"/>
      <c r="AZ557" s="56"/>
      <c r="BA557" s="56"/>
      <c r="BB557" s="56"/>
      <c r="BC557" s="56"/>
      <c r="BD557" s="56"/>
      <c r="BE557" s="56"/>
      <c r="BF557" s="56"/>
      <c r="BG557" s="56"/>
      <c r="BH557" s="56"/>
      <c r="BI557" s="56"/>
      <c r="BJ557" s="56"/>
      <c r="BK557" s="56"/>
      <c r="BL557" s="56"/>
      <c r="BM557" s="56"/>
      <c r="BN557" s="56"/>
      <c r="BO557" s="56"/>
      <c r="BP557" s="56"/>
      <c r="BQ557" s="56"/>
      <c r="BR557" s="56"/>
      <c r="BS557" s="56"/>
      <c r="BT557" s="56"/>
      <c r="BU557" s="56"/>
      <c r="BV557" s="56"/>
      <c r="BW557" s="56"/>
      <c r="BX557" s="56"/>
      <c r="BY557" s="56"/>
      <c r="BZ557" s="56"/>
      <c r="CA557" s="56"/>
      <c r="CB557" s="56"/>
      <c r="CC557" s="56"/>
      <c r="CD557" s="56"/>
      <c r="CE557" s="56"/>
      <c r="CF557" s="56"/>
      <c r="CG557" s="56"/>
      <c r="CH557" s="56"/>
      <c r="CI557" s="56"/>
      <c r="CJ557" s="56"/>
      <c r="CK557" s="56"/>
      <c r="CL557" s="56"/>
      <c r="CM557" s="56"/>
      <c r="CN557" s="56"/>
      <c r="CO557" s="56"/>
      <c r="CP557" s="56"/>
      <c r="CQ557" s="56"/>
      <c r="CR557" s="56"/>
      <c r="CS557" s="56"/>
      <c r="CT557" s="56"/>
      <c r="CU557" s="56"/>
      <c r="CV557" s="56"/>
      <c r="CW557" s="56"/>
      <c r="CX557" s="56"/>
      <c r="CY557" s="56"/>
      <c r="CZ557" s="56"/>
      <c r="DA557" s="56"/>
      <c r="DB557" s="56"/>
      <c r="DC557" s="56"/>
      <c r="DD557" s="56"/>
      <c r="DE557" s="56"/>
      <c r="DF557" s="56"/>
      <c r="DG557" s="56"/>
      <c r="DH557" s="56"/>
      <c r="DI557" s="56"/>
      <c r="DJ557" s="56"/>
      <c r="DK557" s="56"/>
      <c r="DL557" s="56"/>
      <c r="DM557" s="56"/>
      <c r="DN557" s="56"/>
      <c r="DO557" s="56"/>
      <c r="DP557" s="56"/>
      <c r="DQ557" s="56"/>
      <c r="DR557" s="56"/>
      <c r="DS557" s="56"/>
      <c r="DT557" s="56"/>
      <c r="DU557" s="56"/>
      <c r="DV557" s="56"/>
      <c r="DW557" s="56"/>
      <c r="DX557" s="56"/>
      <c r="DY557" s="56"/>
      <c r="DZ557" s="56"/>
      <c r="EA557" s="56"/>
      <c r="EB557" s="56"/>
      <c r="EC557" s="56"/>
      <c r="ED557" s="56"/>
      <c r="EE557" s="56"/>
      <c r="EF557" s="56"/>
      <c r="EG557" s="56"/>
      <c r="EH557" s="56"/>
      <c r="EI557" s="56"/>
      <c r="EJ557" s="56"/>
      <c r="EK557" s="56"/>
      <c r="EL557" s="56"/>
      <c r="EM557" s="56"/>
      <c r="EN557" s="56"/>
      <c r="EO557" s="56"/>
      <c r="EP557" s="56"/>
      <c r="EQ557" s="56"/>
      <c r="ER557" s="56"/>
      <c r="ES557" s="56"/>
      <c r="ET557" s="56"/>
      <c r="EU557" s="56"/>
      <c r="EV557" s="56"/>
      <c r="EW557" s="56"/>
      <c r="EX557" s="56"/>
      <c r="EY557" s="56"/>
      <c r="EZ557" s="56"/>
      <c r="FA557" s="56"/>
      <c r="FB557" s="56"/>
      <c r="FC557" s="56"/>
      <c r="FD557" s="56"/>
      <c r="FE557" s="56"/>
      <c r="FF557" s="56"/>
      <c r="FG557" s="56"/>
      <c r="FH557" s="56"/>
      <c r="FI557" s="56"/>
      <c r="FJ557" s="56"/>
      <c r="FK557" s="56"/>
      <c r="FL557" s="56"/>
      <c r="FM557" s="56"/>
      <c r="FN557" s="56"/>
      <c r="FO557" s="56"/>
      <c r="FP557" s="56"/>
      <c r="FQ557" s="56"/>
      <c r="FR557" s="56"/>
      <c r="FS557" s="56"/>
      <c r="FT557" s="56"/>
      <c r="FU557" s="56"/>
      <c r="FV557" s="56"/>
      <c r="FW557" s="56"/>
      <c r="FX557" s="56"/>
      <c r="FY557" s="56"/>
      <c r="FZ557" s="56"/>
      <c r="GA557" s="56"/>
      <c r="GB557" s="56"/>
      <c r="GC557" s="56"/>
      <c r="GD557" s="56"/>
      <c r="GE557" s="56"/>
      <c r="GF557" s="56"/>
    </row>
    <row r="558" spans="1:57" s="43" customFormat="1" ht="15.75">
      <c r="A558" s="13"/>
      <c r="B558" s="104" t="s">
        <v>669</v>
      </c>
      <c r="C558" s="15"/>
      <c r="D558" s="40"/>
      <c r="E558" s="40"/>
      <c r="F558" s="40"/>
      <c r="G558" s="40"/>
      <c r="H558" s="40"/>
      <c r="I558" s="40"/>
      <c r="J558" s="40"/>
      <c r="K558" s="40"/>
      <c r="L558" s="60">
        <f>L559</f>
        <v>1</v>
      </c>
      <c r="M558" s="60">
        <f>M559</f>
        <v>1</v>
      </c>
      <c r="N558" s="60">
        <f>N559</f>
        <v>1</v>
      </c>
      <c r="O558" s="60" t="str">
        <f>O559</f>
        <v> -</v>
      </c>
      <c r="P558" s="60" t="str">
        <f>P559</f>
        <v> -</v>
      </c>
      <c r="Q558" s="70"/>
      <c r="R558" s="41"/>
      <c r="S558" s="41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BA558" s="49"/>
      <c r="BB558" s="42"/>
      <c r="BC558" s="42"/>
      <c r="BD558" s="42"/>
      <c r="BE558" s="42"/>
    </row>
    <row r="559" spans="1:57" s="43" customFormat="1" ht="16.5" customHeight="1">
      <c r="A559" s="13"/>
      <c r="B559" s="105" t="s">
        <v>1034</v>
      </c>
      <c r="C559" s="15" t="s">
        <v>1035</v>
      </c>
      <c r="D559" s="40"/>
      <c r="E559" s="40"/>
      <c r="F559" s="40"/>
      <c r="G559" s="40"/>
      <c r="H559" s="40"/>
      <c r="I559" s="40"/>
      <c r="J559" s="40"/>
      <c r="K559" s="40"/>
      <c r="L559" s="40">
        <v>1</v>
      </c>
      <c r="M559" s="40">
        <v>1</v>
      </c>
      <c r="N559" s="40">
        <v>1</v>
      </c>
      <c r="O559" s="40" t="s">
        <v>556</v>
      </c>
      <c r="P559" s="40" t="s">
        <v>556</v>
      </c>
      <c r="Q559" s="70"/>
      <c r="R559" s="41"/>
      <c r="S559" s="41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BA559" s="49"/>
      <c r="BB559" s="42"/>
      <c r="BC559" s="42"/>
      <c r="BD559" s="42"/>
      <c r="BE559" s="42"/>
    </row>
    <row r="560" spans="1:57" s="46" customFormat="1" ht="15.75">
      <c r="A560" s="12"/>
      <c r="B560" s="104" t="s">
        <v>670</v>
      </c>
      <c r="C560" s="15"/>
      <c r="D560" s="40"/>
      <c r="E560" s="40"/>
      <c r="F560" s="40"/>
      <c r="G560" s="40"/>
      <c r="H560" s="40"/>
      <c r="I560" s="40"/>
      <c r="J560" s="40"/>
      <c r="K560" s="40"/>
      <c r="L560" s="60" t="str">
        <f>L561</f>
        <v> -</v>
      </c>
      <c r="M560" s="60" t="str">
        <f>M561</f>
        <v> -</v>
      </c>
      <c r="N560" s="60" t="str">
        <f>N561</f>
        <v> -</v>
      </c>
      <c r="O560" s="60">
        <f>O561</f>
        <v>1</v>
      </c>
      <c r="P560" s="60" t="str">
        <f>P561</f>
        <v> -</v>
      </c>
      <c r="Q560" s="70"/>
      <c r="R560" s="41"/>
      <c r="S560" s="41"/>
      <c r="BA560" s="70"/>
      <c r="BB560" s="41"/>
      <c r="BC560" s="41"/>
      <c r="BD560" s="41"/>
      <c r="BE560" s="41"/>
    </row>
    <row r="561" spans="1:57" s="43" customFormat="1" ht="18.75" customHeight="1">
      <c r="A561" s="13"/>
      <c r="B561" s="105" t="s">
        <v>3</v>
      </c>
      <c r="C561" s="15" t="s">
        <v>4</v>
      </c>
      <c r="D561" s="40"/>
      <c r="E561" s="51"/>
      <c r="F561" s="40"/>
      <c r="G561" s="40"/>
      <c r="H561" s="40"/>
      <c r="I561" s="40"/>
      <c r="J561" s="40"/>
      <c r="K561" s="40"/>
      <c r="L561" s="40" t="s">
        <v>556</v>
      </c>
      <c r="M561" s="40" t="s">
        <v>556</v>
      </c>
      <c r="N561" s="40" t="s">
        <v>556</v>
      </c>
      <c r="O561" s="40">
        <v>1</v>
      </c>
      <c r="P561" s="40" t="s">
        <v>556</v>
      </c>
      <c r="Q561" s="70"/>
      <c r="R561" s="41"/>
      <c r="S561" s="41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BA561" s="49"/>
      <c r="BB561" s="42"/>
      <c r="BC561" s="42"/>
      <c r="BD561" s="42"/>
      <c r="BE561" s="42"/>
    </row>
    <row r="562" spans="1:188" s="57" customFormat="1" ht="18" customHeight="1">
      <c r="A562" s="13">
        <v>5</v>
      </c>
      <c r="B562" s="92" t="s">
        <v>781</v>
      </c>
      <c r="C562" s="45"/>
      <c r="D562" s="44">
        <v>25</v>
      </c>
      <c r="E562" s="44">
        <v>3</v>
      </c>
      <c r="F562" s="44"/>
      <c r="G562" s="44">
        <v>25</v>
      </c>
      <c r="H562" s="44">
        <v>25</v>
      </c>
      <c r="I562" s="44">
        <v>25</v>
      </c>
      <c r="J562" s="44">
        <v>25</v>
      </c>
      <c r="K562" s="44">
        <v>25</v>
      </c>
      <c r="L562" s="44" t="str">
        <f aca="true" t="shared" si="15" ref="L562:S562">L563</f>
        <v> -</v>
      </c>
      <c r="M562" s="44" t="str">
        <f t="shared" si="15"/>
        <v> -</v>
      </c>
      <c r="N562" s="44" t="str">
        <f t="shared" si="15"/>
        <v> -</v>
      </c>
      <c r="O562" s="44">
        <f t="shared" si="15"/>
        <v>1</v>
      </c>
      <c r="P562" s="44">
        <f t="shared" si="15"/>
        <v>2</v>
      </c>
      <c r="Q562" s="123">
        <f t="shared" si="15"/>
        <v>0</v>
      </c>
      <c r="R562" s="44">
        <f t="shared" si="15"/>
        <v>0</v>
      </c>
      <c r="S562" s="44">
        <f t="shared" si="15"/>
        <v>0</v>
      </c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  <c r="AR562" s="56"/>
      <c r="AS562" s="56"/>
      <c r="AT562" s="56"/>
      <c r="AU562" s="56"/>
      <c r="AV562" s="56"/>
      <c r="AW562" s="56"/>
      <c r="AX562" s="56"/>
      <c r="AY562" s="56"/>
      <c r="AZ562" s="56"/>
      <c r="BA562" s="56"/>
      <c r="BB562" s="56"/>
      <c r="BC562" s="56"/>
      <c r="BD562" s="56"/>
      <c r="BE562" s="56"/>
      <c r="BF562" s="56"/>
      <c r="BG562" s="56"/>
      <c r="BH562" s="56"/>
      <c r="BI562" s="56"/>
      <c r="BJ562" s="56"/>
      <c r="BK562" s="56"/>
      <c r="BL562" s="56"/>
      <c r="BM562" s="56"/>
      <c r="BN562" s="56"/>
      <c r="BO562" s="56"/>
      <c r="BP562" s="56"/>
      <c r="BQ562" s="56"/>
      <c r="BR562" s="56"/>
      <c r="BS562" s="56"/>
      <c r="BT562" s="56"/>
      <c r="BU562" s="56"/>
      <c r="BV562" s="56"/>
      <c r="BW562" s="56"/>
      <c r="BX562" s="56"/>
      <c r="BY562" s="56"/>
      <c r="BZ562" s="56"/>
      <c r="CA562" s="56"/>
      <c r="CB562" s="56"/>
      <c r="CC562" s="56"/>
      <c r="CD562" s="56"/>
      <c r="CE562" s="56"/>
      <c r="CF562" s="56"/>
      <c r="CG562" s="56"/>
      <c r="CH562" s="56"/>
      <c r="CI562" s="56"/>
      <c r="CJ562" s="56"/>
      <c r="CK562" s="56"/>
      <c r="CL562" s="56"/>
      <c r="CM562" s="56"/>
      <c r="CN562" s="56"/>
      <c r="CO562" s="56"/>
      <c r="CP562" s="56"/>
      <c r="CQ562" s="56"/>
      <c r="CR562" s="56"/>
      <c r="CS562" s="56"/>
      <c r="CT562" s="56"/>
      <c r="CU562" s="56"/>
      <c r="CV562" s="56"/>
      <c r="CW562" s="56"/>
      <c r="CX562" s="56"/>
      <c r="CY562" s="56"/>
      <c r="CZ562" s="56"/>
      <c r="DA562" s="56"/>
      <c r="DB562" s="56"/>
      <c r="DC562" s="56"/>
      <c r="DD562" s="56"/>
      <c r="DE562" s="56"/>
      <c r="DF562" s="56"/>
      <c r="DG562" s="56"/>
      <c r="DH562" s="56"/>
      <c r="DI562" s="56"/>
      <c r="DJ562" s="56"/>
      <c r="DK562" s="56"/>
      <c r="DL562" s="56"/>
      <c r="DM562" s="56"/>
      <c r="DN562" s="56"/>
      <c r="DO562" s="56"/>
      <c r="DP562" s="56"/>
      <c r="DQ562" s="56"/>
      <c r="DR562" s="56"/>
      <c r="DS562" s="56"/>
      <c r="DT562" s="56"/>
      <c r="DU562" s="56"/>
      <c r="DV562" s="56"/>
      <c r="DW562" s="56"/>
      <c r="DX562" s="56"/>
      <c r="DY562" s="56"/>
      <c r="DZ562" s="56"/>
      <c r="EA562" s="56"/>
      <c r="EB562" s="56"/>
      <c r="EC562" s="56"/>
      <c r="ED562" s="56"/>
      <c r="EE562" s="56"/>
      <c r="EF562" s="56"/>
      <c r="EG562" s="56"/>
      <c r="EH562" s="56"/>
      <c r="EI562" s="56"/>
      <c r="EJ562" s="56"/>
      <c r="EK562" s="56"/>
      <c r="EL562" s="56"/>
      <c r="EM562" s="56"/>
      <c r="EN562" s="56"/>
      <c r="EO562" s="56"/>
      <c r="EP562" s="56"/>
      <c r="EQ562" s="56"/>
      <c r="ER562" s="56"/>
      <c r="ES562" s="56"/>
      <c r="ET562" s="56"/>
      <c r="EU562" s="56"/>
      <c r="EV562" s="56"/>
      <c r="EW562" s="56"/>
      <c r="EX562" s="56"/>
      <c r="EY562" s="56"/>
      <c r="EZ562" s="56"/>
      <c r="FA562" s="56"/>
      <c r="FB562" s="56"/>
      <c r="FC562" s="56"/>
      <c r="FD562" s="56"/>
      <c r="FE562" s="56"/>
      <c r="FF562" s="56"/>
      <c r="FG562" s="56"/>
      <c r="FH562" s="56"/>
      <c r="FI562" s="56"/>
      <c r="FJ562" s="56"/>
      <c r="FK562" s="56"/>
      <c r="FL562" s="56"/>
      <c r="FM562" s="56"/>
      <c r="FN562" s="56"/>
      <c r="FO562" s="56"/>
      <c r="FP562" s="56"/>
      <c r="FQ562" s="56"/>
      <c r="FR562" s="56"/>
      <c r="FS562" s="56"/>
      <c r="FT562" s="56"/>
      <c r="FU562" s="56"/>
      <c r="FV562" s="56"/>
      <c r="FW562" s="56"/>
      <c r="FX562" s="56"/>
      <c r="FY562" s="56"/>
      <c r="FZ562" s="56"/>
      <c r="GA562" s="56"/>
      <c r="GB562" s="56"/>
      <c r="GC562" s="56"/>
      <c r="GD562" s="56"/>
      <c r="GE562" s="56"/>
      <c r="GF562" s="56"/>
    </row>
    <row r="563" spans="1:57" s="43" customFormat="1" ht="15.75">
      <c r="A563" s="13"/>
      <c r="B563" s="104" t="s">
        <v>669</v>
      </c>
      <c r="C563" s="15"/>
      <c r="D563" s="40"/>
      <c r="E563" s="40"/>
      <c r="F563" s="40"/>
      <c r="G563" s="40"/>
      <c r="H563" s="40"/>
      <c r="I563" s="40"/>
      <c r="J563" s="40"/>
      <c r="K563" s="40"/>
      <c r="L563" s="60" t="str">
        <f>L564</f>
        <v> -</v>
      </c>
      <c r="M563" s="60" t="str">
        <f>M564</f>
        <v> -</v>
      </c>
      <c r="N563" s="60" t="str">
        <f>N564</f>
        <v> -</v>
      </c>
      <c r="O563" s="60">
        <f>O564</f>
        <v>1</v>
      </c>
      <c r="P563" s="60">
        <f>P564</f>
        <v>2</v>
      </c>
      <c r="Q563" s="70"/>
      <c r="R563" s="41"/>
      <c r="S563" s="41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BA563" s="49"/>
      <c r="BB563" s="42"/>
      <c r="BC563" s="42"/>
      <c r="BD563" s="42"/>
      <c r="BE563" s="42"/>
    </row>
    <row r="564" spans="1:57" s="43" customFormat="1" ht="16.5" customHeight="1">
      <c r="A564" s="13"/>
      <c r="B564" s="105" t="s">
        <v>1034</v>
      </c>
      <c r="C564" s="15" t="s">
        <v>1035</v>
      </c>
      <c r="D564" s="40"/>
      <c r="E564" s="40"/>
      <c r="F564" s="40"/>
      <c r="G564" s="40">
        <v>3</v>
      </c>
      <c r="H564" s="40">
        <v>3</v>
      </c>
      <c r="I564" s="40">
        <v>3</v>
      </c>
      <c r="J564" s="40">
        <v>3</v>
      </c>
      <c r="K564" s="40">
        <v>3</v>
      </c>
      <c r="L564" s="40" t="s">
        <v>556</v>
      </c>
      <c r="M564" s="40" t="s">
        <v>556</v>
      </c>
      <c r="N564" s="40" t="s">
        <v>556</v>
      </c>
      <c r="O564" s="40">
        <v>1</v>
      </c>
      <c r="P564" s="40">
        <v>2</v>
      </c>
      <c r="Q564" s="70"/>
      <c r="R564" s="41"/>
      <c r="S564" s="41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BA564" s="49"/>
      <c r="BB564" s="42"/>
      <c r="BC564" s="42"/>
      <c r="BD564" s="42"/>
      <c r="BE564" s="42"/>
    </row>
    <row r="565" spans="1:19" ht="14.25" customHeight="1">
      <c r="A565" s="399" t="s">
        <v>658</v>
      </c>
      <c r="B565" s="399"/>
      <c r="C565" s="399"/>
      <c r="D565" s="399"/>
      <c r="E565" s="399"/>
      <c r="F565" s="399"/>
      <c r="G565" s="399"/>
      <c r="H565" s="399"/>
      <c r="I565" s="399"/>
      <c r="J565" s="399"/>
      <c r="K565" s="399"/>
      <c r="L565" s="399"/>
      <c r="M565" s="399"/>
      <c r="N565" s="399"/>
      <c r="O565" s="399"/>
      <c r="P565" s="399"/>
      <c r="Q565" s="20"/>
      <c r="R565" s="20"/>
      <c r="S565" s="7"/>
    </row>
    <row r="566" spans="1:19" ht="13.5" customHeight="1">
      <c r="A566" s="400" t="s">
        <v>909</v>
      </c>
      <c r="B566" s="400"/>
      <c r="C566" s="400"/>
      <c r="D566" s="400"/>
      <c r="E566" s="400"/>
      <c r="F566" s="400"/>
      <c r="G566" s="400"/>
      <c r="H566" s="400"/>
      <c r="I566" s="400"/>
      <c r="J566" s="400"/>
      <c r="K566" s="400"/>
      <c r="L566" s="400"/>
      <c r="M566" s="400"/>
      <c r="N566" s="400"/>
      <c r="O566" s="400"/>
      <c r="P566" s="400"/>
      <c r="Q566" s="21"/>
      <c r="R566" s="21"/>
      <c r="S566" s="8"/>
    </row>
    <row r="567" spans="1:188" s="57" customFormat="1" ht="18" customHeight="1">
      <c r="A567" s="13">
        <v>6</v>
      </c>
      <c r="B567" s="92" t="s">
        <v>241</v>
      </c>
      <c r="C567" s="45"/>
      <c r="D567" s="44">
        <v>43</v>
      </c>
      <c r="E567" s="44">
        <v>10</v>
      </c>
      <c r="F567" s="44">
        <v>40</v>
      </c>
      <c r="G567" s="44">
        <v>43</v>
      </c>
      <c r="H567" s="44">
        <v>43</v>
      </c>
      <c r="I567" s="44">
        <v>43</v>
      </c>
      <c r="J567" s="44">
        <v>43</v>
      </c>
      <c r="K567" s="44">
        <v>43</v>
      </c>
      <c r="L567" s="44">
        <v>6</v>
      </c>
      <c r="M567" s="44">
        <v>1</v>
      </c>
      <c r="N567" s="44">
        <v>1</v>
      </c>
      <c r="O567" s="44">
        <v>1</v>
      </c>
      <c r="P567" s="44">
        <f>P568</f>
        <v>1</v>
      </c>
      <c r="Q567" s="123">
        <f>Q568</f>
        <v>0</v>
      </c>
      <c r="R567" s="44">
        <f>R568</f>
        <v>0</v>
      </c>
      <c r="S567" s="44">
        <f>S568</f>
        <v>0</v>
      </c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  <c r="AR567" s="56"/>
      <c r="AS567" s="56"/>
      <c r="AT567" s="56"/>
      <c r="AU567" s="56"/>
      <c r="AV567" s="56"/>
      <c r="AW567" s="56"/>
      <c r="AX567" s="56"/>
      <c r="AY567" s="56"/>
      <c r="AZ567" s="56"/>
      <c r="BA567" s="56"/>
      <c r="BB567" s="56"/>
      <c r="BC567" s="56"/>
      <c r="BD567" s="56"/>
      <c r="BE567" s="56"/>
      <c r="BF567" s="56"/>
      <c r="BG567" s="56"/>
      <c r="BH567" s="56"/>
      <c r="BI567" s="56"/>
      <c r="BJ567" s="56"/>
      <c r="BK567" s="56"/>
      <c r="BL567" s="56"/>
      <c r="BM567" s="56"/>
      <c r="BN567" s="56"/>
      <c r="BO567" s="56"/>
      <c r="BP567" s="56"/>
      <c r="BQ567" s="56"/>
      <c r="BR567" s="56"/>
      <c r="BS567" s="56"/>
      <c r="BT567" s="56"/>
      <c r="BU567" s="56"/>
      <c r="BV567" s="56"/>
      <c r="BW567" s="56"/>
      <c r="BX567" s="56"/>
      <c r="BY567" s="56"/>
      <c r="BZ567" s="56"/>
      <c r="CA567" s="56"/>
      <c r="CB567" s="56"/>
      <c r="CC567" s="56"/>
      <c r="CD567" s="56"/>
      <c r="CE567" s="56"/>
      <c r="CF567" s="56"/>
      <c r="CG567" s="56"/>
      <c r="CH567" s="56"/>
      <c r="CI567" s="56"/>
      <c r="CJ567" s="56"/>
      <c r="CK567" s="56"/>
      <c r="CL567" s="56"/>
      <c r="CM567" s="56"/>
      <c r="CN567" s="56"/>
      <c r="CO567" s="56"/>
      <c r="CP567" s="56"/>
      <c r="CQ567" s="56"/>
      <c r="CR567" s="56"/>
      <c r="CS567" s="56"/>
      <c r="CT567" s="56"/>
      <c r="CU567" s="56"/>
      <c r="CV567" s="56"/>
      <c r="CW567" s="56"/>
      <c r="CX567" s="56"/>
      <c r="CY567" s="56"/>
      <c r="CZ567" s="56"/>
      <c r="DA567" s="56"/>
      <c r="DB567" s="56"/>
      <c r="DC567" s="56"/>
      <c r="DD567" s="56"/>
      <c r="DE567" s="56"/>
      <c r="DF567" s="56"/>
      <c r="DG567" s="56"/>
      <c r="DH567" s="56"/>
      <c r="DI567" s="56"/>
      <c r="DJ567" s="56"/>
      <c r="DK567" s="56"/>
      <c r="DL567" s="56"/>
      <c r="DM567" s="56"/>
      <c r="DN567" s="56"/>
      <c r="DO567" s="56"/>
      <c r="DP567" s="56"/>
      <c r="DQ567" s="56"/>
      <c r="DR567" s="56"/>
      <c r="DS567" s="56"/>
      <c r="DT567" s="56"/>
      <c r="DU567" s="56"/>
      <c r="DV567" s="56"/>
      <c r="DW567" s="56"/>
      <c r="DX567" s="56"/>
      <c r="DY567" s="56"/>
      <c r="DZ567" s="56"/>
      <c r="EA567" s="56"/>
      <c r="EB567" s="56"/>
      <c r="EC567" s="56"/>
      <c r="ED567" s="56"/>
      <c r="EE567" s="56"/>
      <c r="EF567" s="56"/>
      <c r="EG567" s="56"/>
      <c r="EH567" s="56"/>
      <c r="EI567" s="56"/>
      <c r="EJ567" s="56"/>
      <c r="EK567" s="56"/>
      <c r="EL567" s="56"/>
      <c r="EM567" s="56"/>
      <c r="EN567" s="56"/>
      <c r="EO567" s="56"/>
      <c r="EP567" s="56"/>
      <c r="EQ567" s="56"/>
      <c r="ER567" s="56"/>
      <c r="ES567" s="56"/>
      <c r="ET567" s="56"/>
      <c r="EU567" s="56"/>
      <c r="EV567" s="56"/>
      <c r="EW567" s="56"/>
      <c r="EX567" s="56"/>
      <c r="EY567" s="56"/>
      <c r="EZ567" s="56"/>
      <c r="FA567" s="56"/>
      <c r="FB567" s="56"/>
      <c r="FC567" s="56"/>
      <c r="FD567" s="56"/>
      <c r="FE567" s="56"/>
      <c r="FF567" s="56"/>
      <c r="FG567" s="56"/>
      <c r="FH567" s="56"/>
      <c r="FI567" s="56"/>
      <c r="FJ567" s="56"/>
      <c r="FK567" s="56"/>
      <c r="FL567" s="56"/>
      <c r="FM567" s="56"/>
      <c r="FN567" s="56"/>
      <c r="FO567" s="56"/>
      <c r="FP567" s="56"/>
      <c r="FQ567" s="56"/>
      <c r="FR567" s="56"/>
      <c r="FS567" s="56"/>
      <c r="FT567" s="56"/>
      <c r="FU567" s="56"/>
      <c r="FV567" s="56"/>
      <c r="FW567" s="56"/>
      <c r="FX567" s="56"/>
      <c r="FY567" s="56"/>
      <c r="FZ567" s="56"/>
      <c r="GA567" s="56"/>
      <c r="GB567" s="56"/>
      <c r="GC567" s="56"/>
      <c r="GD567" s="56"/>
      <c r="GE567" s="56"/>
      <c r="GF567" s="56"/>
    </row>
    <row r="568" spans="1:57" s="43" customFormat="1" ht="15.75">
      <c r="A568" s="13"/>
      <c r="B568" s="104" t="s">
        <v>669</v>
      </c>
      <c r="C568" s="15"/>
      <c r="D568" s="40"/>
      <c r="E568" s="40"/>
      <c r="F568" s="40"/>
      <c r="G568" s="40"/>
      <c r="H568" s="40"/>
      <c r="I568" s="40"/>
      <c r="J568" s="40"/>
      <c r="K568" s="40"/>
      <c r="L568" s="60">
        <f>SUM(L569:L571)</f>
        <v>5</v>
      </c>
      <c r="M568" s="60">
        <f>SUM(M569:M571)</f>
        <v>1</v>
      </c>
      <c r="N568" s="60">
        <f>SUM(N569:N571)</f>
        <v>1</v>
      </c>
      <c r="O568" s="60">
        <f>SUM(O569:O571)</f>
        <v>1</v>
      </c>
      <c r="P568" s="60">
        <f>SUM(P569:P571)</f>
        <v>1</v>
      </c>
      <c r="Q568" s="70"/>
      <c r="R568" s="41"/>
      <c r="S568" s="41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BA568" s="49"/>
      <c r="BB568" s="42"/>
      <c r="BC568" s="42"/>
      <c r="BD568" s="42"/>
      <c r="BE568" s="42"/>
    </row>
    <row r="569" spans="1:57" s="43" customFormat="1" ht="16.5" customHeight="1">
      <c r="A569" s="13"/>
      <c r="B569" s="105" t="s">
        <v>1</v>
      </c>
      <c r="C569" s="15" t="s">
        <v>2</v>
      </c>
      <c r="D569" s="40"/>
      <c r="E569" s="40"/>
      <c r="F569" s="40">
        <v>6</v>
      </c>
      <c r="G569" s="40">
        <v>6</v>
      </c>
      <c r="H569" s="40">
        <v>6</v>
      </c>
      <c r="I569" s="40">
        <v>6</v>
      </c>
      <c r="J569" s="40">
        <v>6</v>
      </c>
      <c r="K569" s="40">
        <v>6</v>
      </c>
      <c r="L569" s="40">
        <v>2</v>
      </c>
      <c r="M569" s="40">
        <v>1</v>
      </c>
      <c r="N569" s="40">
        <v>1</v>
      </c>
      <c r="O569" s="40">
        <v>1</v>
      </c>
      <c r="P569" s="40">
        <v>1</v>
      </c>
      <c r="Q569" s="70"/>
      <c r="R569" s="41"/>
      <c r="S569" s="41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BA569" s="49"/>
      <c r="BB569" s="42"/>
      <c r="BC569" s="42"/>
      <c r="BD569" s="42"/>
      <c r="BE569" s="42"/>
    </row>
    <row r="570" spans="1:57" s="43" customFormat="1" ht="15.75" customHeight="1">
      <c r="A570" s="13"/>
      <c r="B570" s="105" t="s">
        <v>1316</v>
      </c>
      <c r="C570" s="15" t="s">
        <v>1317</v>
      </c>
      <c r="D570" s="40"/>
      <c r="E570" s="40"/>
      <c r="F570" s="40">
        <v>1</v>
      </c>
      <c r="G570" s="40">
        <v>1</v>
      </c>
      <c r="H570" s="40">
        <v>1</v>
      </c>
      <c r="I570" s="40">
        <v>1</v>
      </c>
      <c r="J570" s="40">
        <v>1</v>
      </c>
      <c r="K570" s="40">
        <v>1</v>
      </c>
      <c r="L570" s="40">
        <v>1</v>
      </c>
      <c r="M570" s="40" t="s">
        <v>556</v>
      </c>
      <c r="N570" s="40" t="s">
        <v>556</v>
      </c>
      <c r="O570" s="40" t="s">
        <v>556</v>
      </c>
      <c r="P570" s="40" t="s">
        <v>556</v>
      </c>
      <c r="Q570" s="70"/>
      <c r="R570" s="41"/>
      <c r="S570" s="41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BA570" s="49"/>
      <c r="BB570" s="42"/>
      <c r="BC570" s="42"/>
      <c r="BD570" s="42"/>
      <c r="BE570" s="42"/>
    </row>
    <row r="571" spans="1:57" s="43" customFormat="1" ht="17.25" customHeight="1">
      <c r="A571" s="13"/>
      <c r="B571" s="105" t="s">
        <v>560</v>
      </c>
      <c r="C571" s="15">
        <v>24010138</v>
      </c>
      <c r="D571" s="40"/>
      <c r="E571" s="51"/>
      <c r="F571" s="40">
        <v>6</v>
      </c>
      <c r="G571" s="40">
        <v>7</v>
      </c>
      <c r="H571" s="40">
        <v>7</v>
      </c>
      <c r="I571" s="40">
        <v>7</v>
      </c>
      <c r="J571" s="40">
        <v>7</v>
      </c>
      <c r="K571" s="40">
        <v>7</v>
      </c>
      <c r="L571" s="40">
        <v>2</v>
      </c>
      <c r="M571" s="40" t="s">
        <v>556</v>
      </c>
      <c r="N571" s="40" t="s">
        <v>556</v>
      </c>
      <c r="O571" s="40" t="s">
        <v>556</v>
      </c>
      <c r="P571" s="40" t="s">
        <v>556</v>
      </c>
      <c r="Q571" s="70"/>
      <c r="R571" s="41"/>
      <c r="S571" s="41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BA571" s="49"/>
      <c r="BB571" s="42"/>
      <c r="BC571" s="42"/>
      <c r="BD571" s="42"/>
      <c r="BE571" s="42"/>
    </row>
    <row r="572" spans="1:57" s="46" customFormat="1" ht="15.75">
      <c r="A572" s="12"/>
      <c r="B572" s="104" t="s">
        <v>670</v>
      </c>
      <c r="C572" s="15"/>
      <c r="D572" s="40"/>
      <c r="E572" s="40"/>
      <c r="F572" s="40"/>
      <c r="G572" s="40"/>
      <c r="H572" s="40"/>
      <c r="I572" s="40"/>
      <c r="J572" s="40"/>
      <c r="K572" s="40"/>
      <c r="L572" s="60">
        <f>L574</f>
        <v>1</v>
      </c>
      <c r="M572" s="60">
        <v>1</v>
      </c>
      <c r="N572" s="60"/>
      <c r="O572" s="60" t="s">
        <v>556</v>
      </c>
      <c r="P572" s="60" t="s">
        <v>556</v>
      </c>
      <c r="Q572" s="70"/>
      <c r="R572" s="41"/>
      <c r="S572" s="41"/>
      <c r="BA572" s="70"/>
      <c r="BB572" s="41"/>
      <c r="BC572" s="41"/>
      <c r="BD572" s="41"/>
      <c r="BE572" s="41"/>
    </row>
    <row r="573" spans="1:57" s="43" customFormat="1" ht="18.75" customHeight="1">
      <c r="A573" s="13"/>
      <c r="B573" s="105" t="s">
        <v>3</v>
      </c>
      <c r="C573" s="15" t="s">
        <v>4</v>
      </c>
      <c r="D573" s="40"/>
      <c r="E573" s="51"/>
      <c r="F573" s="40">
        <v>1</v>
      </c>
      <c r="G573" s="40">
        <v>1</v>
      </c>
      <c r="H573" s="40">
        <v>1</v>
      </c>
      <c r="I573" s="40">
        <v>1</v>
      </c>
      <c r="J573" s="40">
        <v>1</v>
      </c>
      <c r="K573" s="40">
        <v>1</v>
      </c>
      <c r="L573" s="40" t="s">
        <v>556</v>
      </c>
      <c r="M573" s="40">
        <v>1</v>
      </c>
      <c r="N573" s="40" t="s">
        <v>556</v>
      </c>
      <c r="O573" s="40" t="s">
        <v>556</v>
      </c>
      <c r="P573" s="40" t="s">
        <v>556</v>
      </c>
      <c r="Q573" s="70"/>
      <c r="R573" s="41"/>
      <c r="S573" s="41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BA573" s="49"/>
      <c r="BB573" s="42"/>
      <c r="BC573" s="42"/>
      <c r="BD573" s="42"/>
      <c r="BE573" s="42"/>
    </row>
    <row r="574" spans="1:19" s="48" customFormat="1" ht="18.75" customHeight="1">
      <c r="A574" s="12"/>
      <c r="B574" s="97" t="s">
        <v>561</v>
      </c>
      <c r="C574" s="66" t="s">
        <v>804</v>
      </c>
      <c r="D574" s="40"/>
      <c r="E574" s="40"/>
      <c r="F574" s="40" t="s">
        <v>556</v>
      </c>
      <c r="G574" s="40">
        <v>2</v>
      </c>
      <c r="H574" s="40">
        <v>2</v>
      </c>
      <c r="I574" s="40">
        <v>2</v>
      </c>
      <c r="J574" s="40">
        <v>2</v>
      </c>
      <c r="K574" s="40">
        <v>2</v>
      </c>
      <c r="L574" s="40">
        <v>1</v>
      </c>
      <c r="M574" s="40" t="s">
        <v>556</v>
      </c>
      <c r="N574" s="40" t="s">
        <v>556</v>
      </c>
      <c r="O574" s="40" t="s">
        <v>556</v>
      </c>
      <c r="P574" s="40" t="s">
        <v>556</v>
      </c>
      <c r="Q574" s="68"/>
      <c r="R574" s="68"/>
      <c r="S574" s="68"/>
    </row>
    <row r="575" spans="1:19" ht="14.25" customHeight="1">
      <c r="A575" s="399" t="s">
        <v>657</v>
      </c>
      <c r="B575" s="399"/>
      <c r="C575" s="399"/>
      <c r="D575" s="399"/>
      <c r="E575" s="399"/>
      <c r="F575" s="399"/>
      <c r="G575" s="399"/>
      <c r="H575" s="399"/>
      <c r="I575" s="399"/>
      <c r="J575" s="399"/>
      <c r="K575" s="399"/>
      <c r="L575" s="399"/>
      <c r="M575" s="399"/>
      <c r="N575" s="399"/>
      <c r="O575" s="399"/>
      <c r="P575" s="399"/>
      <c r="Q575" s="20"/>
      <c r="R575" s="20"/>
      <c r="S575" s="7"/>
    </row>
    <row r="576" spans="1:19" ht="13.5" customHeight="1">
      <c r="A576" s="400" t="s">
        <v>909</v>
      </c>
      <c r="B576" s="400"/>
      <c r="C576" s="400"/>
      <c r="D576" s="400"/>
      <c r="E576" s="400"/>
      <c r="F576" s="400"/>
      <c r="G576" s="400"/>
      <c r="H576" s="400"/>
      <c r="I576" s="400"/>
      <c r="J576" s="400"/>
      <c r="K576" s="400"/>
      <c r="L576" s="400"/>
      <c r="M576" s="400"/>
      <c r="N576" s="400"/>
      <c r="O576" s="400"/>
      <c r="P576" s="400"/>
      <c r="Q576" s="21"/>
      <c r="R576" s="21"/>
      <c r="S576" s="8"/>
    </row>
    <row r="577" spans="1:188" s="57" customFormat="1" ht="18" customHeight="1">
      <c r="A577" s="13">
        <v>7</v>
      </c>
      <c r="B577" s="92" t="s">
        <v>969</v>
      </c>
      <c r="C577" s="45"/>
      <c r="D577" s="44">
        <v>40</v>
      </c>
      <c r="E577" s="44">
        <v>9</v>
      </c>
      <c r="F577" s="44"/>
      <c r="G577" s="44">
        <v>12</v>
      </c>
      <c r="H577" s="44">
        <v>12</v>
      </c>
      <c r="I577" s="44">
        <v>12</v>
      </c>
      <c r="J577" s="44">
        <v>12</v>
      </c>
      <c r="K577" s="44">
        <v>12</v>
      </c>
      <c r="L577" s="44">
        <f>L578</f>
        <v>2</v>
      </c>
      <c r="M577" s="44">
        <f>M578</f>
        <v>3</v>
      </c>
      <c r="N577" s="44">
        <f>N578</f>
        <v>1</v>
      </c>
      <c r="O577" s="44">
        <f>O578</f>
        <v>2</v>
      </c>
      <c r="P577" s="44" t="s">
        <v>556</v>
      </c>
      <c r="Q577" s="123">
        <f>Q578</f>
        <v>0</v>
      </c>
      <c r="R577" s="44">
        <f>R578</f>
        <v>0</v>
      </c>
      <c r="S577" s="44">
        <f>S578</f>
        <v>0</v>
      </c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  <c r="AR577" s="56"/>
      <c r="AS577" s="56"/>
      <c r="AT577" s="56"/>
      <c r="AU577" s="56"/>
      <c r="AV577" s="56"/>
      <c r="AW577" s="56"/>
      <c r="AX577" s="56"/>
      <c r="AY577" s="56"/>
      <c r="AZ577" s="56"/>
      <c r="BA577" s="56"/>
      <c r="BB577" s="56"/>
      <c r="BC577" s="56"/>
      <c r="BD577" s="56"/>
      <c r="BE577" s="56"/>
      <c r="BF577" s="56"/>
      <c r="BG577" s="56"/>
      <c r="BH577" s="56"/>
      <c r="BI577" s="56"/>
      <c r="BJ577" s="56"/>
      <c r="BK577" s="56"/>
      <c r="BL577" s="56"/>
      <c r="BM577" s="56"/>
      <c r="BN577" s="56"/>
      <c r="BO577" s="56"/>
      <c r="BP577" s="56"/>
      <c r="BQ577" s="56"/>
      <c r="BR577" s="56"/>
      <c r="BS577" s="56"/>
      <c r="BT577" s="56"/>
      <c r="BU577" s="56"/>
      <c r="BV577" s="56"/>
      <c r="BW577" s="56"/>
      <c r="BX577" s="56"/>
      <c r="BY577" s="56"/>
      <c r="BZ577" s="56"/>
      <c r="CA577" s="56"/>
      <c r="CB577" s="56"/>
      <c r="CC577" s="56"/>
      <c r="CD577" s="56"/>
      <c r="CE577" s="56"/>
      <c r="CF577" s="56"/>
      <c r="CG577" s="56"/>
      <c r="CH577" s="56"/>
      <c r="CI577" s="56"/>
      <c r="CJ577" s="56"/>
      <c r="CK577" s="56"/>
      <c r="CL577" s="56"/>
      <c r="CM577" s="56"/>
      <c r="CN577" s="56"/>
      <c r="CO577" s="56"/>
      <c r="CP577" s="56"/>
      <c r="CQ577" s="56"/>
      <c r="CR577" s="56"/>
      <c r="CS577" s="56"/>
      <c r="CT577" s="56"/>
      <c r="CU577" s="56"/>
      <c r="CV577" s="56"/>
      <c r="CW577" s="56"/>
      <c r="CX577" s="56"/>
      <c r="CY577" s="56"/>
      <c r="CZ577" s="56"/>
      <c r="DA577" s="56"/>
      <c r="DB577" s="56"/>
      <c r="DC577" s="56"/>
      <c r="DD577" s="56"/>
      <c r="DE577" s="56"/>
      <c r="DF577" s="56"/>
      <c r="DG577" s="56"/>
      <c r="DH577" s="56"/>
      <c r="DI577" s="56"/>
      <c r="DJ577" s="56"/>
      <c r="DK577" s="56"/>
      <c r="DL577" s="56"/>
      <c r="DM577" s="56"/>
      <c r="DN577" s="56"/>
      <c r="DO577" s="56"/>
      <c r="DP577" s="56"/>
      <c r="DQ577" s="56"/>
      <c r="DR577" s="56"/>
      <c r="DS577" s="56"/>
      <c r="DT577" s="56"/>
      <c r="DU577" s="56"/>
      <c r="DV577" s="56"/>
      <c r="DW577" s="56"/>
      <c r="DX577" s="56"/>
      <c r="DY577" s="56"/>
      <c r="DZ577" s="56"/>
      <c r="EA577" s="56"/>
      <c r="EB577" s="56"/>
      <c r="EC577" s="56"/>
      <c r="ED577" s="56"/>
      <c r="EE577" s="56"/>
      <c r="EF577" s="56"/>
      <c r="EG577" s="56"/>
      <c r="EH577" s="56"/>
      <c r="EI577" s="56"/>
      <c r="EJ577" s="56"/>
      <c r="EK577" s="56"/>
      <c r="EL577" s="56"/>
      <c r="EM577" s="56"/>
      <c r="EN577" s="56"/>
      <c r="EO577" s="56"/>
      <c r="EP577" s="56"/>
      <c r="EQ577" s="56"/>
      <c r="ER577" s="56"/>
      <c r="ES577" s="56"/>
      <c r="ET577" s="56"/>
      <c r="EU577" s="56"/>
      <c r="EV577" s="56"/>
      <c r="EW577" s="56"/>
      <c r="EX577" s="56"/>
      <c r="EY577" s="56"/>
      <c r="EZ577" s="56"/>
      <c r="FA577" s="56"/>
      <c r="FB577" s="56"/>
      <c r="FC577" s="56"/>
      <c r="FD577" s="56"/>
      <c r="FE577" s="56"/>
      <c r="FF577" s="56"/>
      <c r="FG577" s="56"/>
      <c r="FH577" s="56"/>
      <c r="FI577" s="56"/>
      <c r="FJ577" s="56"/>
      <c r="FK577" s="56"/>
      <c r="FL577" s="56"/>
      <c r="FM577" s="56"/>
      <c r="FN577" s="56"/>
      <c r="FO577" s="56"/>
      <c r="FP577" s="56"/>
      <c r="FQ577" s="56"/>
      <c r="FR577" s="56"/>
      <c r="FS577" s="56"/>
      <c r="FT577" s="56"/>
      <c r="FU577" s="56"/>
      <c r="FV577" s="56"/>
      <c r="FW577" s="56"/>
      <c r="FX577" s="56"/>
      <c r="FY577" s="56"/>
      <c r="FZ577" s="56"/>
      <c r="GA577" s="56"/>
      <c r="GB577" s="56"/>
      <c r="GC577" s="56"/>
      <c r="GD577" s="56"/>
      <c r="GE577" s="56"/>
      <c r="GF577" s="56"/>
    </row>
    <row r="578" spans="1:57" s="43" customFormat="1" ht="15.75">
      <c r="A578" s="13"/>
      <c r="B578" s="104" t="s">
        <v>669</v>
      </c>
      <c r="C578" s="15"/>
      <c r="D578" s="40"/>
      <c r="E578" s="40"/>
      <c r="F578" s="40"/>
      <c r="G578" s="40"/>
      <c r="H578" s="40"/>
      <c r="I578" s="40"/>
      <c r="J578" s="40"/>
      <c r="K578" s="40"/>
      <c r="L578" s="60">
        <f>SUM(L579:L581)</f>
        <v>2</v>
      </c>
      <c r="M578" s="60">
        <f>SUM(M579:M581)</f>
        <v>3</v>
      </c>
      <c r="N578" s="60">
        <f>SUM(N579:N581)</f>
        <v>1</v>
      </c>
      <c r="O578" s="60">
        <f>SUM(O579:O581)</f>
        <v>2</v>
      </c>
      <c r="P578" s="60" t="str">
        <f>P579</f>
        <v> -</v>
      </c>
      <c r="Q578" s="70"/>
      <c r="R578" s="41"/>
      <c r="S578" s="41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BA578" s="49"/>
      <c r="BB578" s="42"/>
      <c r="BC578" s="42"/>
      <c r="BD578" s="42"/>
      <c r="BE578" s="42"/>
    </row>
    <row r="579" spans="1:57" s="43" customFormat="1" ht="16.5" customHeight="1">
      <c r="A579" s="13"/>
      <c r="B579" s="105" t="s">
        <v>1034</v>
      </c>
      <c r="C579" s="15" t="s">
        <v>1035</v>
      </c>
      <c r="D579" s="40"/>
      <c r="E579" s="40"/>
      <c r="F579" s="40"/>
      <c r="G579" s="40"/>
      <c r="H579" s="40"/>
      <c r="I579" s="40"/>
      <c r="J579" s="40"/>
      <c r="K579" s="40"/>
      <c r="L579" s="40">
        <v>1</v>
      </c>
      <c r="M579" s="40">
        <v>1</v>
      </c>
      <c r="N579" s="40" t="s">
        <v>556</v>
      </c>
      <c r="O579" s="40">
        <v>2</v>
      </c>
      <c r="P579" s="40" t="s">
        <v>556</v>
      </c>
      <c r="Q579" s="70"/>
      <c r="R579" s="41"/>
      <c r="S579" s="41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BA579" s="49"/>
      <c r="BB579" s="42"/>
      <c r="BC579" s="42"/>
      <c r="BD579" s="42"/>
      <c r="BE579" s="42"/>
    </row>
    <row r="580" spans="1:57" s="43" customFormat="1" ht="16.5" customHeight="1">
      <c r="A580" s="13"/>
      <c r="B580" s="97" t="s">
        <v>1321</v>
      </c>
      <c r="C580" s="15" t="s">
        <v>1323</v>
      </c>
      <c r="D580" s="40"/>
      <c r="E580" s="40"/>
      <c r="F580" s="40"/>
      <c r="G580" s="40"/>
      <c r="H580" s="40"/>
      <c r="I580" s="40"/>
      <c r="J580" s="40"/>
      <c r="K580" s="40"/>
      <c r="L580" s="40" t="s">
        <v>556</v>
      </c>
      <c r="M580" s="40">
        <v>1</v>
      </c>
      <c r="N580" s="40" t="s">
        <v>556</v>
      </c>
      <c r="O580" s="40" t="s">
        <v>556</v>
      </c>
      <c r="P580" s="40" t="s">
        <v>556</v>
      </c>
      <c r="Q580" s="70"/>
      <c r="R580" s="41"/>
      <c r="S580" s="41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BA580" s="49"/>
      <c r="BB580" s="42"/>
      <c r="BC580" s="42"/>
      <c r="BD580" s="42"/>
      <c r="BE580" s="42"/>
    </row>
    <row r="581" spans="1:57" s="43" customFormat="1" ht="16.5" customHeight="1">
      <c r="A581" s="13"/>
      <c r="B581" s="105" t="s">
        <v>1036</v>
      </c>
      <c r="C581" s="15" t="s">
        <v>1037</v>
      </c>
      <c r="D581" s="40"/>
      <c r="E581" s="40"/>
      <c r="F581" s="40"/>
      <c r="G581" s="40"/>
      <c r="H581" s="40"/>
      <c r="I581" s="40"/>
      <c r="J581" s="40"/>
      <c r="K581" s="40"/>
      <c r="L581" s="40">
        <v>1</v>
      </c>
      <c r="M581" s="40">
        <v>1</v>
      </c>
      <c r="N581" s="40">
        <v>1</v>
      </c>
      <c r="O581" s="40" t="s">
        <v>556</v>
      </c>
      <c r="P581" s="40" t="s">
        <v>556</v>
      </c>
      <c r="Q581" s="70"/>
      <c r="R581" s="41"/>
      <c r="S581" s="41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BA581" s="49"/>
      <c r="BB581" s="42"/>
      <c r="BC581" s="42"/>
      <c r="BD581" s="42"/>
      <c r="BE581" s="42"/>
    </row>
    <row r="582" spans="1:57" s="46" customFormat="1" ht="15.75">
      <c r="A582" s="12"/>
      <c r="B582" s="104" t="s">
        <v>670</v>
      </c>
      <c r="C582" s="15"/>
      <c r="D582" s="40"/>
      <c r="E582" s="40"/>
      <c r="F582" s="40"/>
      <c r="G582" s="40"/>
      <c r="H582" s="40"/>
      <c r="I582" s="40"/>
      <c r="J582" s="40"/>
      <c r="K582" s="40"/>
      <c r="L582" s="60">
        <f>L583</f>
        <v>1</v>
      </c>
      <c r="M582" s="60" t="str">
        <f>M583</f>
        <v> -</v>
      </c>
      <c r="N582" s="60" t="str">
        <f>N583</f>
        <v> -</v>
      </c>
      <c r="O582" s="60" t="str">
        <f>O583</f>
        <v> -</v>
      </c>
      <c r="P582" s="60" t="str">
        <f>P583</f>
        <v> -</v>
      </c>
      <c r="Q582" s="70"/>
      <c r="R582" s="41"/>
      <c r="S582" s="41"/>
      <c r="BA582" s="70"/>
      <c r="BB582" s="41"/>
      <c r="BC582" s="41"/>
      <c r="BD582" s="41"/>
      <c r="BE582" s="41"/>
    </row>
    <row r="583" spans="1:57" s="43" customFormat="1" ht="18.75" customHeight="1">
      <c r="A583" s="13"/>
      <c r="B583" s="97" t="s">
        <v>561</v>
      </c>
      <c r="C583" s="66" t="s">
        <v>804</v>
      </c>
      <c r="D583" s="40"/>
      <c r="E583" s="51"/>
      <c r="F583" s="40"/>
      <c r="G583" s="40">
        <v>2</v>
      </c>
      <c r="H583" s="40">
        <v>2</v>
      </c>
      <c r="I583" s="40">
        <v>2</v>
      </c>
      <c r="J583" s="40">
        <v>2</v>
      </c>
      <c r="K583" s="40">
        <v>2</v>
      </c>
      <c r="L583" s="40">
        <v>1</v>
      </c>
      <c r="M583" s="40" t="s">
        <v>556</v>
      </c>
      <c r="N583" s="40" t="s">
        <v>556</v>
      </c>
      <c r="O583" s="40" t="s">
        <v>556</v>
      </c>
      <c r="P583" s="40" t="s">
        <v>556</v>
      </c>
      <c r="Q583" s="70"/>
      <c r="R583" s="41"/>
      <c r="S583" s="41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BA583" s="49"/>
      <c r="BB583" s="42"/>
      <c r="BC583" s="42"/>
      <c r="BD583" s="42"/>
      <c r="BE583" s="42"/>
    </row>
    <row r="584" spans="1:188" s="57" customFormat="1" ht="18" customHeight="1">
      <c r="A584" s="13">
        <v>8</v>
      </c>
      <c r="B584" s="92" t="s">
        <v>971</v>
      </c>
      <c r="C584" s="45"/>
      <c r="D584" s="44">
        <v>37</v>
      </c>
      <c r="E584" s="44">
        <v>2</v>
      </c>
      <c r="F584" s="44"/>
      <c r="G584" s="44">
        <v>12</v>
      </c>
      <c r="H584" s="44">
        <v>12</v>
      </c>
      <c r="I584" s="44">
        <v>12</v>
      </c>
      <c r="J584" s="44">
        <v>12</v>
      </c>
      <c r="K584" s="44">
        <v>12</v>
      </c>
      <c r="L584" s="44" t="str">
        <f>L585</f>
        <v> -</v>
      </c>
      <c r="M584" s="44" t="str">
        <f>M585</f>
        <v> -</v>
      </c>
      <c r="N584" s="44">
        <f>N585</f>
        <v>1</v>
      </c>
      <c r="O584" s="44" t="str">
        <f>O585</f>
        <v> -</v>
      </c>
      <c r="P584" s="44" t="s">
        <v>556</v>
      </c>
      <c r="Q584" s="123">
        <f>Q585</f>
        <v>0</v>
      </c>
      <c r="R584" s="44">
        <f>R585</f>
        <v>0</v>
      </c>
      <c r="S584" s="44">
        <f>S585</f>
        <v>0</v>
      </c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  <c r="AR584" s="56"/>
      <c r="AS584" s="56"/>
      <c r="AT584" s="56"/>
      <c r="AU584" s="56"/>
      <c r="AV584" s="56"/>
      <c r="AW584" s="56"/>
      <c r="AX584" s="56"/>
      <c r="AY584" s="56"/>
      <c r="AZ584" s="56"/>
      <c r="BA584" s="56"/>
      <c r="BB584" s="56"/>
      <c r="BC584" s="56"/>
      <c r="BD584" s="56"/>
      <c r="BE584" s="56"/>
      <c r="BF584" s="56"/>
      <c r="BG584" s="56"/>
      <c r="BH584" s="56"/>
      <c r="BI584" s="56"/>
      <c r="BJ584" s="56"/>
      <c r="BK584" s="56"/>
      <c r="BL584" s="56"/>
      <c r="BM584" s="56"/>
      <c r="BN584" s="56"/>
      <c r="BO584" s="56"/>
      <c r="BP584" s="56"/>
      <c r="BQ584" s="56"/>
      <c r="BR584" s="56"/>
      <c r="BS584" s="56"/>
      <c r="BT584" s="56"/>
      <c r="BU584" s="56"/>
      <c r="BV584" s="56"/>
      <c r="BW584" s="56"/>
      <c r="BX584" s="56"/>
      <c r="BY584" s="56"/>
      <c r="BZ584" s="56"/>
      <c r="CA584" s="56"/>
      <c r="CB584" s="56"/>
      <c r="CC584" s="56"/>
      <c r="CD584" s="56"/>
      <c r="CE584" s="56"/>
      <c r="CF584" s="56"/>
      <c r="CG584" s="56"/>
      <c r="CH584" s="56"/>
      <c r="CI584" s="56"/>
      <c r="CJ584" s="56"/>
      <c r="CK584" s="56"/>
      <c r="CL584" s="56"/>
      <c r="CM584" s="56"/>
      <c r="CN584" s="56"/>
      <c r="CO584" s="56"/>
      <c r="CP584" s="56"/>
      <c r="CQ584" s="56"/>
      <c r="CR584" s="56"/>
      <c r="CS584" s="56"/>
      <c r="CT584" s="56"/>
      <c r="CU584" s="56"/>
      <c r="CV584" s="56"/>
      <c r="CW584" s="56"/>
      <c r="CX584" s="56"/>
      <c r="CY584" s="56"/>
      <c r="CZ584" s="56"/>
      <c r="DA584" s="56"/>
      <c r="DB584" s="56"/>
      <c r="DC584" s="56"/>
      <c r="DD584" s="56"/>
      <c r="DE584" s="56"/>
      <c r="DF584" s="56"/>
      <c r="DG584" s="56"/>
      <c r="DH584" s="56"/>
      <c r="DI584" s="56"/>
      <c r="DJ584" s="56"/>
      <c r="DK584" s="56"/>
      <c r="DL584" s="56"/>
      <c r="DM584" s="56"/>
      <c r="DN584" s="56"/>
      <c r="DO584" s="56"/>
      <c r="DP584" s="56"/>
      <c r="DQ584" s="56"/>
      <c r="DR584" s="56"/>
      <c r="DS584" s="56"/>
      <c r="DT584" s="56"/>
      <c r="DU584" s="56"/>
      <c r="DV584" s="56"/>
      <c r="DW584" s="56"/>
      <c r="DX584" s="56"/>
      <c r="DY584" s="56"/>
      <c r="DZ584" s="56"/>
      <c r="EA584" s="56"/>
      <c r="EB584" s="56"/>
      <c r="EC584" s="56"/>
      <c r="ED584" s="56"/>
      <c r="EE584" s="56"/>
      <c r="EF584" s="56"/>
      <c r="EG584" s="56"/>
      <c r="EH584" s="56"/>
      <c r="EI584" s="56"/>
      <c r="EJ584" s="56"/>
      <c r="EK584" s="56"/>
      <c r="EL584" s="56"/>
      <c r="EM584" s="56"/>
      <c r="EN584" s="56"/>
      <c r="EO584" s="56"/>
      <c r="EP584" s="56"/>
      <c r="EQ584" s="56"/>
      <c r="ER584" s="56"/>
      <c r="ES584" s="56"/>
      <c r="ET584" s="56"/>
      <c r="EU584" s="56"/>
      <c r="EV584" s="56"/>
      <c r="EW584" s="56"/>
      <c r="EX584" s="56"/>
      <c r="EY584" s="56"/>
      <c r="EZ584" s="56"/>
      <c r="FA584" s="56"/>
      <c r="FB584" s="56"/>
      <c r="FC584" s="56"/>
      <c r="FD584" s="56"/>
      <c r="FE584" s="56"/>
      <c r="FF584" s="56"/>
      <c r="FG584" s="56"/>
      <c r="FH584" s="56"/>
      <c r="FI584" s="56"/>
      <c r="FJ584" s="56"/>
      <c r="FK584" s="56"/>
      <c r="FL584" s="56"/>
      <c r="FM584" s="56"/>
      <c r="FN584" s="56"/>
      <c r="FO584" s="56"/>
      <c r="FP584" s="56"/>
      <c r="FQ584" s="56"/>
      <c r="FR584" s="56"/>
      <c r="FS584" s="56"/>
      <c r="FT584" s="56"/>
      <c r="FU584" s="56"/>
      <c r="FV584" s="56"/>
      <c r="FW584" s="56"/>
      <c r="FX584" s="56"/>
      <c r="FY584" s="56"/>
      <c r="FZ584" s="56"/>
      <c r="GA584" s="56"/>
      <c r="GB584" s="56"/>
      <c r="GC584" s="56"/>
      <c r="GD584" s="56"/>
      <c r="GE584" s="56"/>
      <c r="GF584" s="56"/>
    </row>
    <row r="585" spans="1:57" s="43" customFormat="1" ht="15.75">
      <c r="A585" s="13"/>
      <c r="B585" s="104" t="s">
        <v>669</v>
      </c>
      <c r="C585" s="15"/>
      <c r="D585" s="40"/>
      <c r="E585" s="40"/>
      <c r="F585" s="40"/>
      <c r="G585" s="40"/>
      <c r="H585" s="40"/>
      <c r="I585" s="40"/>
      <c r="J585" s="40"/>
      <c r="K585" s="40"/>
      <c r="L585" s="60" t="s">
        <v>556</v>
      </c>
      <c r="M585" s="60" t="s">
        <v>556</v>
      </c>
      <c r="N585" s="60">
        <f>SUM(N586:N586)</f>
        <v>1</v>
      </c>
      <c r="O585" s="60" t="s">
        <v>556</v>
      </c>
      <c r="P585" s="60" t="str">
        <f>P586</f>
        <v> -</v>
      </c>
      <c r="Q585" s="70"/>
      <c r="R585" s="41"/>
      <c r="S585" s="41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BA585" s="49"/>
      <c r="BB585" s="42"/>
      <c r="BC585" s="42"/>
      <c r="BD585" s="42"/>
      <c r="BE585" s="42"/>
    </row>
    <row r="586" spans="1:57" s="43" customFormat="1" ht="16.5" customHeight="1">
      <c r="A586" s="13"/>
      <c r="B586" s="105" t="s">
        <v>1034</v>
      </c>
      <c r="C586" s="15" t="s">
        <v>1035</v>
      </c>
      <c r="D586" s="40"/>
      <c r="E586" s="40"/>
      <c r="F586" s="40"/>
      <c r="G586" s="40"/>
      <c r="H586" s="40"/>
      <c r="I586" s="40"/>
      <c r="J586" s="40"/>
      <c r="K586" s="40"/>
      <c r="L586" s="40" t="s">
        <v>556</v>
      </c>
      <c r="M586" s="40" t="s">
        <v>556</v>
      </c>
      <c r="N586" s="40">
        <v>1</v>
      </c>
      <c r="O586" s="40" t="s">
        <v>556</v>
      </c>
      <c r="P586" s="40" t="s">
        <v>556</v>
      </c>
      <c r="Q586" s="70"/>
      <c r="R586" s="41"/>
      <c r="S586" s="41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BA586" s="49"/>
      <c r="BB586" s="42"/>
      <c r="BC586" s="42"/>
      <c r="BD586" s="42"/>
      <c r="BE586" s="42"/>
    </row>
    <row r="587" spans="1:19" ht="14.25" customHeight="1">
      <c r="A587" s="399" t="s">
        <v>651</v>
      </c>
      <c r="B587" s="399"/>
      <c r="C587" s="399"/>
      <c r="D587" s="399"/>
      <c r="E587" s="399"/>
      <c r="F587" s="399"/>
      <c r="G587" s="399"/>
      <c r="H587" s="399"/>
      <c r="I587" s="399"/>
      <c r="J587" s="399"/>
      <c r="K587" s="399"/>
      <c r="L587" s="399"/>
      <c r="M587" s="399"/>
      <c r="N587" s="399"/>
      <c r="O587" s="399"/>
      <c r="P587" s="399"/>
      <c r="Q587" s="20"/>
      <c r="R587" s="20"/>
      <c r="S587" s="7"/>
    </row>
    <row r="588" spans="1:19" ht="13.5" customHeight="1">
      <c r="A588" s="400" t="s">
        <v>909</v>
      </c>
      <c r="B588" s="400"/>
      <c r="C588" s="400"/>
      <c r="D588" s="400"/>
      <c r="E588" s="400"/>
      <c r="F588" s="400"/>
      <c r="G588" s="400"/>
      <c r="H588" s="400"/>
      <c r="I588" s="400"/>
      <c r="J588" s="400"/>
      <c r="K588" s="400"/>
      <c r="L588" s="400"/>
      <c r="M588" s="400"/>
      <c r="N588" s="400"/>
      <c r="O588" s="400"/>
      <c r="P588" s="400"/>
      <c r="Q588" s="21"/>
      <c r="R588" s="21"/>
      <c r="S588" s="8"/>
    </row>
    <row r="589" spans="1:188" s="57" customFormat="1" ht="18" customHeight="1">
      <c r="A589" s="13">
        <v>9</v>
      </c>
      <c r="B589" s="92" t="s">
        <v>972</v>
      </c>
      <c r="C589" s="45"/>
      <c r="D589" s="44">
        <v>12</v>
      </c>
      <c r="E589" s="44">
        <v>2</v>
      </c>
      <c r="F589" s="44"/>
      <c r="G589" s="44">
        <v>12</v>
      </c>
      <c r="H589" s="44">
        <v>12</v>
      </c>
      <c r="I589" s="44">
        <v>12</v>
      </c>
      <c r="J589" s="44">
        <v>12</v>
      </c>
      <c r="K589" s="44">
        <v>12</v>
      </c>
      <c r="L589" s="44">
        <f>L590</f>
        <v>2</v>
      </c>
      <c r="M589" s="44">
        <f>M590</f>
        <v>1</v>
      </c>
      <c r="N589" s="44" t="str">
        <f>N590</f>
        <v> -</v>
      </c>
      <c r="O589" s="44">
        <f>O590</f>
        <v>1</v>
      </c>
      <c r="P589" s="44" t="s">
        <v>556</v>
      </c>
      <c r="Q589" s="123">
        <f>Q590</f>
        <v>0</v>
      </c>
      <c r="R589" s="44">
        <f>R590</f>
        <v>0</v>
      </c>
      <c r="S589" s="44">
        <f>S590</f>
        <v>0</v>
      </c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  <c r="AV589" s="56"/>
      <c r="AW589" s="56"/>
      <c r="AX589" s="56"/>
      <c r="AY589" s="56"/>
      <c r="AZ589" s="56"/>
      <c r="BA589" s="56"/>
      <c r="BB589" s="56"/>
      <c r="BC589" s="56"/>
      <c r="BD589" s="56"/>
      <c r="BE589" s="56"/>
      <c r="BF589" s="56"/>
      <c r="BG589" s="56"/>
      <c r="BH589" s="56"/>
      <c r="BI589" s="56"/>
      <c r="BJ589" s="56"/>
      <c r="BK589" s="56"/>
      <c r="BL589" s="56"/>
      <c r="BM589" s="56"/>
      <c r="BN589" s="56"/>
      <c r="BO589" s="56"/>
      <c r="BP589" s="56"/>
      <c r="BQ589" s="56"/>
      <c r="BR589" s="56"/>
      <c r="BS589" s="56"/>
      <c r="BT589" s="56"/>
      <c r="BU589" s="56"/>
      <c r="BV589" s="56"/>
      <c r="BW589" s="56"/>
      <c r="BX589" s="56"/>
      <c r="BY589" s="56"/>
      <c r="BZ589" s="56"/>
      <c r="CA589" s="56"/>
      <c r="CB589" s="56"/>
      <c r="CC589" s="56"/>
      <c r="CD589" s="56"/>
      <c r="CE589" s="56"/>
      <c r="CF589" s="56"/>
      <c r="CG589" s="56"/>
      <c r="CH589" s="56"/>
      <c r="CI589" s="56"/>
      <c r="CJ589" s="56"/>
      <c r="CK589" s="56"/>
      <c r="CL589" s="56"/>
      <c r="CM589" s="56"/>
      <c r="CN589" s="56"/>
      <c r="CO589" s="56"/>
      <c r="CP589" s="56"/>
      <c r="CQ589" s="56"/>
      <c r="CR589" s="56"/>
      <c r="CS589" s="56"/>
      <c r="CT589" s="56"/>
      <c r="CU589" s="56"/>
      <c r="CV589" s="56"/>
      <c r="CW589" s="56"/>
      <c r="CX589" s="56"/>
      <c r="CY589" s="56"/>
      <c r="CZ589" s="56"/>
      <c r="DA589" s="56"/>
      <c r="DB589" s="56"/>
      <c r="DC589" s="56"/>
      <c r="DD589" s="56"/>
      <c r="DE589" s="56"/>
      <c r="DF589" s="56"/>
      <c r="DG589" s="56"/>
      <c r="DH589" s="56"/>
      <c r="DI589" s="56"/>
      <c r="DJ589" s="56"/>
      <c r="DK589" s="56"/>
      <c r="DL589" s="56"/>
      <c r="DM589" s="56"/>
      <c r="DN589" s="56"/>
      <c r="DO589" s="56"/>
      <c r="DP589" s="56"/>
      <c r="DQ589" s="56"/>
      <c r="DR589" s="56"/>
      <c r="DS589" s="56"/>
      <c r="DT589" s="56"/>
      <c r="DU589" s="56"/>
      <c r="DV589" s="56"/>
      <c r="DW589" s="56"/>
      <c r="DX589" s="56"/>
      <c r="DY589" s="56"/>
      <c r="DZ589" s="56"/>
      <c r="EA589" s="56"/>
      <c r="EB589" s="56"/>
      <c r="EC589" s="56"/>
      <c r="ED589" s="56"/>
      <c r="EE589" s="56"/>
      <c r="EF589" s="56"/>
      <c r="EG589" s="56"/>
      <c r="EH589" s="56"/>
      <c r="EI589" s="56"/>
      <c r="EJ589" s="56"/>
      <c r="EK589" s="56"/>
      <c r="EL589" s="56"/>
      <c r="EM589" s="56"/>
      <c r="EN589" s="56"/>
      <c r="EO589" s="56"/>
      <c r="EP589" s="56"/>
      <c r="EQ589" s="56"/>
      <c r="ER589" s="56"/>
      <c r="ES589" s="56"/>
      <c r="ET589" s="56"/>
      <c r="EU589" s="56"/>
      <c r="EV589" s="56"/>
      <c r="EW589" s="56"/>
      <c r="EX589" s="56"/>
      <c r="EY589" s="56"/>
      <c r="EZ589" s="56"/>
      <c r="FA589" s="56"/>
      <c r="FB589" s="56"/>
      <c r="FC589" s="56"/>
      <c r="FD589" s="56"/>
      <c r="FE589" s="56"/>
      <c r="FF589" s="56"/>
      <c r="FG589" s="56"/>
      <c r="FH589" s="56"/>
      <c r="FI589" s="56"/>
      <c r="FJ589" s="56"/>
      <c r="FK589" s="56"/>
      <c r="FL589" s="56"/>
      <c r="FM589" s="56"/>
      <c r="FN589" s="56"/>
      <c r="FO589" s="56"/>
      <c r="FP589" s="56"/>
      <c r="FQ589" s="56"/>
      <c r="FR589" s="56"/>
      <c r="FS589" s="56"/>
      <c r="FT589" s="56"/>
      <c r="FU589" s="56"/>
      <c r="FV589" s="56"/>
      <c r="FW589" s="56"/>
      <c r="FX589" s="56"/>
      <c r="FY589" s="56"/>
      <c r="FZ589" s="56"/>
      <c r="GA589" s="56"/>
      <c r="GB589" s="56"/>
      <c r="GC589" s="56"/>
      <c r="GD589" s="56"/>
      <c r="GE589" s="56"/>
      <c r="GF589" s="56"/>
    </row>
    <row r="590" spans="1:57" s="43" customFormat="1" ht="15.75">
      <c r="A590" s="13"/>
      <c r="B590" s="104" t="s">
        <v>669</v>
      </c>
      <c r="C590" s="15"/>
      <c r="D590" s="40"/>
      <c r="E590" s="40"/>
      <c r="F590" s="40"/>
      <c r="G590" s="40"/>
      <c r="H590" s="40"/>
      <c r="I590" s="40"/>
      <c r="J590" s="40"/>
      <c r="K590" s="40"/>
      <c r="L590" s="60">
        <f>SUM(L591:L592)</f>
        <v>2</v>
      </c>
      <c r="M590" s="60">
        <f>SUM(M591:M592)</f>
        <v>1</v>
      </c>
      <c r="N590" s="60" t="s">
        <v>556</v>
      </c>
      <c r="O590" s="60">
        <f>SUM(O591:O592)</f>
        <v>1</v>
      </c>
      <c r="P590" s="60" t="str">
        <f>P591</f>
        <v> -</v>
      </c>
      <c r="Q590" s="70"/>
      <c r="R590" s="41"/>
      <c r="S590" s="41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BA590" s="49"/>
      <c r="BB590" s="42"/>
      <c r="BC590" s="42"/>
      <c r="BD590" s="42"/>
      <c r="BE590" s="42"/>
    </row>
    <row r="591" spans="1:57" s="43" customFormat="1" ht="16.5" customHeight="1">
      <c r="A591" s="13"/>
      <c r="B591" s="105" t="s">
        <v>1034</v>
      </c>
      <c r="C591" s="15" t="s">
        <v>1035</v>
      </c>
      <c r="D591" s="40"/>
      <c r="E591" s="40"/>
      <c r="F591" s="40"/>
      <c r="G591" s="40"/>
      <c r="H591" s="40"/>
      <c r="I591" s="40"/>
      <c r="J591" s="40"/>
      <c r="K591" s="40"/>
      <c r="L591" s="40" t="s">
        <v>556</v>
      </c>
      <c r="M591" s="40" t="s">
        <v>556</v>
      </c>
      <c r="N591" s="40" t="s">
        <v>556</v>
      </c>
      <c r="O591" s="40">
        <v>1</v>
      </c>
      <c r="P591" s="40" t="s">
        <v>556</v>
      </c>
      <c r="Q591" s="70"/>
      <c r="R591" s="41"/>
      <c r="S591" s="41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BA591" s="49"/>
      <c r="BB591" s="42"/>
      <c r="BC591" s="42"/>
      <c r="BD591" s="42"/>
      <c r="BE591" s="42"/>
    </row>
    <row r="592" spans="1:57" s="43" customFormat="1" ht="16.5" customHeight="1">
      <c r="A592" s="13"/>
      <c r="B592" s="105" t="s">
        <v>1036</v>
      </c>
      <c r="C592" s="15" t="s">
        <v>1037</v>
      </c>
      <c r="D592" s="40"/>
      <c r="E592" s="40"/>
      <c r="F592" s="40"/>
      <c r="G592" s="40"/>
      <c r="H592" s="40"/>
      <c r="I592" s="40"/>
      <c r="J592" s="40"/>
      <c r="K592" s="40"/>
      <c r="L592" s="40">
        <v>2</v>
      </c>
      <c r="M592" s="40">
        <v>1</v>
      </c>
      <c r="N592" s="40" t="s">
        <v>556</v>
      </c>
      <c r="O592" s="40" t="s">
        <v>556</v>
      </c>
      <c r="P592" s="40" t="s">
        <v>556</v>
      </c>
      <c r="Q592" s="70"/>
      <c r="R592" s="41"/>
      <c r="S592" s="41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BA592" s="49"/>
      <c r="BB592" s="42"/>
      <c r="BC592" s="42"/>
      <c r="BD592" s="42"/>
      <c r="BE592" s="42"/>
    </row>
    <row r="593" spans="1:19" ht="21" customHeight="1">
      <c r="A593" s="401" t="s">
        <v>626</v>
      </c>
      <c r="B593" s="401"/>
      <c r="C593" s="401"/>
      <c r="D593" s="401"/>
      <c r="E593" s="401"/>
      <c r="F593" s="401"/>
      <c r="G593" s="401"/>
      <c r="H593" s="401"/>
      <c r="I593" s="401"/>
      <c r="J593" s="401"/>
      <c r="K593" s="401"/>
      <c r="L593" s="401"/>
      <c r="M593" s="401"/>
      <c r="N593" s="401"/>
      <c r="O593" s="401"/>
      <c r="P593" s="401"/>
      <c r="Q593" s="20"/>
      <c r="R593" s="20"/>
      <c r="S593" s="9"/>
    </row>
    <row r="594" spans="1:19" ht="15" customHeight="1">
      <c r="A594" s="399" t="s">
        <v>650</v>
      </c>
      <c r="B594" s="399"/>
      <c r="C594" s="399"/>
      <c r="D594" s="399"/>
      <c r="E594" s="399"/>
      <c r="F594" s="399"/>
      <c r="G594" s="399"/>
      <c r="H594" s="399"/>
      <c r="I594" s="399"/>
      <c r="J594" s="399"/>
      <c r="K594" s="399"/>
      <c r="L594" s="399"/>
      <c r="M594" s="399"/>
      <c r="N594" s="399"/>
      <c r="O594" s="399"/>
      <c r="P594" s="399"/>
      <c r="Q594" s="20"/>
      <c r="R594" s="20"/>
      <c r="S594" s="7"/>
    </row>
    <row r="595" spans="1:19" ht="13.5" customHeight="1">
      <c r="A595" s="400" t="s">
        <v>676</v>
      </c>
      <c r="B595" s="400"/>
      <c r="C595" s="400"/>
      <c r="D595" s="400"/>
      <c r="E595" s="400"/>
      <c r="F595" s="400"/>
      <c r="G595" s="400"/>
      <c r="H595" s="400"/>
      <c r="I595" s="400"/>
      <c r="J595" s="400"/>
      <c r="K595" s="400"/>
      <c r="L595" s="400"/>
      <c r="M595" s="400"/>
      <c r="N595" s="400"/>
      <c r="O595" s="400"/>
      <c r="P595" s="400"/>
      <c r="Q595" s="21"/>
      <c r="R595" s="21"/>
      <c r="S595" s="8"/>
    </row>
    <row r="596" spans="1:188" s="205" customFormat="1" ht="18" customHeight="1">
      <c r="A596" s="13">
        <v>1</v>
      </c>
      <c r="B596" s="92" t="s">
        <v>192</v>
      </c>
      <c r="C596" s="45"/>
      <c r="D596" s="44">
        <v>5341</v>
      </c>
      <c r="E596" s="44">
        <v>1232</v>
      </c>
      <c r="F596" s="44">
        <v>3830</v>
      </c>
      <c r="G596" s="44">
        <v>4590</v>
      </c>
      <c r="H596" s="44">
        <v>4610</v>
      </c>
      <c r="I596" s="44">
        <v>4610</v>
      </c>
      <c r="J596" s="44"/>
      <c r="K596" s="44">
        <v>4610</v>
      </c>
      <c r="L596" s="44">
        <f>L597+L617+L624</f>
        <v>96</v>
      </c>
      <c r="M596" s="44">
        <f>M597+M617+M624</f>
        <v>169</v>
      </c>
      <c r="N596" s="44">
        <f>N597+N617+N624</f>
        <v>90</v>
      </c>
      <c r="O596" s="44">
        <f>O597+O617+O624</f>
        <v>100</v>
      </c>
      <c r="P596" s="44">
        <f>P597+P617+P624</f>
        <v>50</v>
      </c>
      <c r="Q596" s="201" t="s">
        <v>648</v>
      </c>
      <c r="R596" s="201">
        <v>1</v>
      </c>
      <c r="S596" s="202" t="s">
        <v>923</v>
      </c>
      <c r="T596" s="204"/>
      <c r="U596" s="204"/>
      <c r="V596" s="204"/>
      <c r="W596" s="204"/>
      <c r="X596" s="204"/>
      <c r="Y596" s="204"/>
      <c r="Z596" s="204"/>
      <c r="AA596" s="204"/>
      <c r="AB596" s="204"/>
      <c r="AC596" s="204"/>
      <c r="AD596" s="204"/>
      <c r="AE596" s="204"/>
      <c r="AF596" s="204"/>
      <c r="AG596" s="204"/>
      <c r="AH596" s="204"/>
      <c r="AI596" s="204"/>
      <c r="AJ596" s="204"/>
      <c r="AK596" s="204"/>
      <c r="AL596" s="204"/>
      <c r="AM596" s="204"/>
      <c r="AN596" s="204"/>
      <c r="AO596" s="204"/>
      <c r="AP596" s="204"/>
      <c r="AQ596" s="204"/>
      <c r="AR596" s="204"/>
      <c r="AS596" s="204"/>
      <c r="AT596" s="204"/>
      <c r="AU596" s="204"/>
      <c r="AV596" s="204"/>
      <c r="AW596" s="204"/>
      <c r="AX596" s="204"/>
      <c r="AY596" s="204"/>
      <c r="AZ596" s="204"/>
      <c r="BA596" s="204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  <c r="BZ596" s="204"/>
      <c r="CA596" s="204"/>
      <c r="CB596" s="204"/>
      <c r="CC596" s="204"/>
      <c r="CD596" s="204"/>
      <c r="CE596" s="204"/>
      <c r="CF596" s="204"/>
      <c r="CG596" s="204"/>
      <c r="CH596" s="204"/>
      <c r="CI596" s="204"/>
      <c r="CJ596" s="204"/>
      <c r="CK596" s="204"/>
      <c r="CL596" s="204"/>
      <c r="CM596" s="204"/>
      <c r="CN596" s="204"/>
      <c r="CO596" s="204"/>
      <c r="CP596" s="204"/>
      <c r="CQ596" s="204"/>
      <c r="CR596" s="204"/>
      <c r="CS596" s="204"/>
      <c r="CT596" s="204"/>
      <c r="CU596" s="204"/>
      <c r="CV596" s="204"/>
      <c r="CW596" s="204"/>
      <c r="CX596" s="204"/>
      <c r="CY596" s="204"/>
      <c r="CZ596" s="204"/>
      <c r="DA596" s="204"/>
      <c r="DB596" s="204"/>
      <c r="DC596" s="204"/>
      <c r="DD596" s="204"/>
      <c r="DE596" s="204"/>
      <c r="DF596" s="204"/>
      <c r="DG596" s="204"/>
      <c r="DH596" s="204"/>
      <c r="DI596" s="204"/>
      <c r="DJ596" s="204"/>
      <c r="DK596" s="204"/>
      <c r="DL596" s="204"/>
      <c r="DM596" s="204"/>
      <c r="DN596" s="204"/>
      <c r="DO596" s="204"/>
      <c r="DP596" s="204"/>
      <c r="DQ596" s="204"/>
      <c r="DR596" s="204"/>
      <c r="DS596" s="204"/>
      <c r="DT596" s="204"/>
      <c r="DU596" s="204"/>
      <c r="DV596" s="204"/>
      <c r="DW596" s="204"/>
      <c r="DX596" s="204"/>
      <c r="DY596" s="204"/>
      <c r="DZ596" s="204"/>
      <c r="EA596" s="204"/>
      <c r="EB596" s="204"/>
      <c r="EC596" s="204"/>
      <c r="ED596" s="204"/>
      <c r="EE596" s="204"/>
      <c r="EF596" s="204"/>
      <c r="EG596" s="204"/>
      <c r="EH596" s="204"/>
      <c r="EI596" s="204"/>
      <c r="EJ596" s="204"/>
      <c r="EK596" s="204"/>
      <c r="EL596" s="204"/>
      <c r="EM596" s="204"/>
      <c r="EN596" s="204"/>
      <c r="EO596" s="204"/>
      <c r="EP596" s="204"/>
      <c r="EQ596" s="204"/>
      <c r="ER596" s="204"/>
      <c r="ES596" s="204"/>
      <c r="ET596" s="204"/>
      <c r="EU596" s="204"/>
      <c r="EV596" s="204"/>
      <c r="EW596" s="204"/>
      <c r="EX596" s="204"/>
      <c r="EY596" s="204"/>
      <c r="EZ596" s="204"/>
      <c r="FA596" s="204"/>
      <c r="FB596" s="204"/>
      <c r="FC596" s="204"/>
      <c r="FD596" s="204"/>
      <c r="FE596" s="204"/>
      <c r="FF596" s="204"/>
      <c r="FG596" s="204"/>
      <c r="FH596" s="204"/>
      <c r="FI596" s="204"/>
      <c r="FJ596" s="204"/>
      <c r="FK596" s="204"/>
      <c r="FL596" s="204"/>
      <c r="FM596" s="204"/>
      <c r="FN596" s="204"/>
      <c r="FO596" s="204"/>
      <c r="FP596" s="204"/>
      <c r="FQ596" s="204"/>
      <c r="FR596" s="204"/>
      <c r="FS596" s="204"/>
      <c r="FT596" s="204"/>
      <c r="FU596" s="204"/>
      <c r="FV596" s="204"/>
      <c r="FW596" s="204"/>
      <c r="FX596" s="204"/>
      <c r="FY596" s="204"/>
      <c r="FZ596" s="204"/>
      <c r="GA596" s="204"/>
      <c r="GB596" s="204"/>
      <c r="GC596" s="204"/>
      <c r="GD596" s="204"/>
      <c r="GE596" s="204"/>
      <c r="GF596" s="204"/>
    </row>
    <row r="597" spans="1:57" s="213" customFormat="1" ht="15.75">
      <c r="A597" s="13"/>
      <c r="B597" s="104" t="s">
        <v>669</v>
      </c>
      <c r="C597" s="15"/>
      <c r="D597" s="60">
        <f>D598+D599+D600+D601+D602+D603+D604+D605+D606+D607+D608+D609+D610+D611+D612+D613+D614+D615+D616</f>
        <v>2302</v>
      </c>
      <c r="E597" s="60">
        <f aca="true" t="shared" si="16" ref="E597:S597">E598+E599+E600+E601+E602+E603+E604+E605+E606+E607+E608+E609+E610+E611+E612+E613+E614+E615+E616</f>
        <v>311</v>
      </c>
      <c r="F597" s="60">
        <f t="shared" si="16"/>
        <v>540</v>
      </c>
      <c r="G597" s="60">
        <f t="shared" si="16"/>
        <v>558</v>
      </c>
      <c r="H597" s="60">
        <f t="shared" si="16"/>
        <v>558</v>
      </c>
      <c r="I597" s="60">
        <f t="shared" si="16"/>
        <v>558</v>
      </c>
      <c r="J597" s="60">
        <f t="shared" si="16"/>
        <v>0</v>
      </c>
      <c r="K597" s="60">
        <f t="shared" si="16"/>
        <v>558</v>
      </c>
      <c r="L597" s="60">
        <f t="shared" si="16"/>
        <v>96</v>
      </c>
      <c r="M597" s="60">
        <f t="shared" si="16"/>
        <v>129</v>
      </c>
      <c r="N597" s="60">
        <f t="shared" si="16"/>
        <v>68</v>
      </c>
      <c r="O597" s="60">
        <f t="shared" si="16"/>
        <v>77</v>
      </c>
      <c r="P597" s="60">
        <f t="shared" si="16"/>
        <v>41</v>
      </c>
      <c r="Q597" s="206">
        <f t="shared" si="16"/>
        <v>0</v>
      </c>
      <c r="R597" s="206">
        <f t="shared" si="16"/>
        <v>0</v>
      </c>
      <c r="S597" s="206">
        <f t="shared" si="16"/>
        <v>0</v>
      </c>
      <c r="BA597" s="214"/>
      <c r="BB597" s="212"/>
      <c r="BC597" s="212"/>
      <c r="BD597" s="212"/>
      <c r="BE597" s="212"/>
    </row>
    <row r="598" spans="1:57" s="213" customFormat="1" ht="16.5" customHeight="1">
      <c r="A598" s="13"/>
      <c r="B598" s="105" t="s">
        <v>421</v>
      </c>
      <c r="C598" s="15" t="s">
        <v>1315</v>
      </c>
      <c r="D598" s="40">
        <v>176</v>
      </c>
      <c r="E598" s="40">
        <v>24</v>
      </c>
      <c r="F598" s="40">
        <v>115</v>
      </c>
      <c r="G598" s="40">
        <v>120</v>
      </c>
      <c r="H598" s="40">
        <v>120</v>
      </c>
      <c r="I598" s="40">
        <v>120</v>
      </c>
      <c r="J598" s="40"/>
      <c r="K598" s="40">
        <v>120</v>
      </c>
      <c r="L598" s="40">
        <v>14</v>
      </c>
      <c r="M598" s="40">
        <v>10</v>
      </c>
      <c r="N598" s="40">
        <v>5</v>
      </c>
      <c r="O598" s="40">
        <v>6</v>
      </c>
      <c r="P598" s="40">
        <v>3</v>
      </c>
      <c r="Q598" s="214"/>
      <c r="R598" s="212"/>
      <c r="S598" s="212"/>
      <c r="BA598" s="214"/>
      <c r="BB598" s="212"/>
      <c r="BC598" s="212"/>
      <c r="BD598" s="212"/>
      <c r="BE598" s="212"/>
    </row>
    <row r="599" spans="1:57" s="213" customFormat="1" ht="16.5" customHeight="1">
      <c r="A599" s="13"/>
      <c r="B599" s="97" t="s">
        <v>815</v>
      </c>
      <c r="C599" s="15">
        <v>24010138</v>
      </c>
      <c r="D599" s="341">
        <v>48</v>
      </c>
      <c r="E599" s="341">
        <v>9</v>
      </c>
      <c r="F599" s="40"/>
      <c r="G599" s="40"/>
      <c r="H599" s="40"/>
      <c r="I599" s="40"/>
      <c r="J599" s="40"/>
      <c r="K599" s="40"/>
      <c r="L599" s="40"/>
      <c r="M599" s="341">
        <v>3</v>
      </c>
      <c r="N599" s="341">
        <v>1</v>
      </c>
      <c r="O599" s="341">
        <v>2</v>
      </c>
      <c r="P599" s="341">
        <v>1</v>
      </c>
      <c r="Q599" s="214"/>
      <c r="R599" s="212"/>
      <c r="S599" s="212"/>
      <c r="BA599" s="214"/>
      <c r="BB599" s="212"/>
      <c r="BC599" s="212"/>
      <c r="BD599" s="212"/>
      <c r="BE599" s="212"/>
    </row>
    <row r="600" spans="1:57" s="213" customFormat="1" ht="16.5" customHeight="1">
      <c r="A600" s="13"/>
      <c r="B600" s="97" t="s">
        <v>1060</v>
      </c>
      <c r="C600" s="15">
        <v>11629</v>
      </c>
      <c r="D600" s="341">
        <v>35</v>
      </c>
      <c r="E600" s="341"/>
      <c r="F600" s="40"/>
      <c r="G600" s="40"/>
      <c r="H600" s="40"/>
      <c r="I600" s="40"/>
      <c r="J600" s="40"/>
      <c r="K600" s="40"/>
      <c r="L600" s="40"/>
      <c r="M600" s="341">
        <v>2</v>
      </c>
      <c r="N600" s="341">
        <v>1</v>
      </c>
      <c r="O600" s="341">
        <v>1</v>
      </c>
      <c r="P600" s="341">
        <v>1</v>
      </c>
      <c r="Q600" s="214"/>
      <c r="R600" s="212"/>
      <c r="S600" s="212"/>
      <c r="BA600" s="214"/>
      <c r="BB600" s="212"/>
      <c r="BC600" s="212"/>
      <c r="BD600" s="212"/>
      <c r="BE600" s="212"/>
    </row>
    <row r="601" spans="1:57" s="213" customFormat="1" ht="16.5" customHeight="1">
      <c r="A601" s="13"/>
      <c r="B601" s="97" t="s">
        <v>1061</v>
      </c>
      <c r="C601" s="15">
        <v>12853</v>
      </c>
      <c r="D601" s="341">
        <v>112</v>
      </c>
      <c r="E601" s="341">
        <v>26</v>
      </c>
      <c r="F601" s="40"/>
      <c r="G601" s="40"/>
      <c r="H601" s="40"/>
      <c r="I601" s="40"/>
      <c r="J601" s="40"/>
      <c r="K601" s="40"/>
      <c r="L601" s="40"/>
      <c r="M601" s="341">
        <v>6</v>
      </c>
      <c r="N601" s="341">
        <v>3</v>
      </c>
      <c r="O601" s="341">
        <v>4</v>
      </c>
      <c r="P601" s="341">
        <v>2</v>
      </c>
      <c r="Q601" s="214"/>
      <c r="R601" s="212"/>
      <c r="S601" s="212"/>
      <c r="BA601" s="214"/>
      <c r="BB601" s="212"/>
      <c r="BC601" s="212"/>
      <c r="BD601" s="212"/>
      <c r="BE601" s="212"/>
    </row>
    <row r="602" spans="1:57" s="213" customFormat="1" ht="16.5" customHeight="1">
      <c r="A602" s="13"/>
      <c r="B602" s="97" t="s">
        <v>817</v>
      </c>
      <c r="C602" s="15" t="s">
        <v>435</v>
      </c>
      <c r="D602" s="341">
        <v>80</v>
      </c>
      <c r="E602" s="341">
        <v>33</v>
      </c>
      <c r="F602" s="40"/>
      <c r="G602" s="40"/>
      <c r="H602" s="40"/>
      <c r="I602" s="40"/>
      <c r="J602" s="40"/>
      <c r="K602" s="40"/>
      <c r="L602" s="40"/>
      <c r="M602" s="341">
        <v>4</v>
      </c>
      <c r="N602" s="341">
        <v>2</v>
      </c>
      <c r="O602" s="341">
        <v>3</v>
      </c>
      <c r="P602" s="341">
        <v>1</v>
      </c>
      <c r="Q602" s="214"/>
      <c r="R602" s="212"/>
      <c r="S602" s="212"/>
      <c r="BA602" s="214"/>
      <c r="BB602" s="212"/>
      <c r="BC602" s="212"/>
      <c r="BD602" s="212"/>
      <c r="BE602" s="212"/>
    </row>
    <row r="603" spans="1:57" s="213" customFormat="1" ht="16.5" customHeight="1">
      <c r="A603" s="13"/>
      <c r="B603" s="97" t="s">
        <v>818</v>
      </c>
      <c r="C603" s="15">
        <v>14050135</v>
      </c>
      <c r="D603" s="341">
        <v>38</v>
      </c>
      <c r="E603" s="341">
        <v>10</v>
      </c>
      <c r="F603" s="40"/>
      <c r="G603" s="40"/>
      <c r="H603" s="40"/>
      <c r="I603" s="40"/>
      <c r="J603" s="40"/>
      <c r="K603" s="40"/>
      <c r="L603" s="40"/>
      <c r="M603" s="341">
        <v>2</v>
      </c>
      <c r="N603" s="341">
        <v>1</v>
      </c>
      <c r="O603" s="341">
        <v>1</v>
      </c>
      <c r="P603" s="341">
        <v>1</v>
      </c>
      <c r="Q603" s="214"/>
      <c r="R603" s="212"/>
      <c r="S603" s="212"/>
      <c r="BA603" s="214"/>
      <c r="BB603" s="212"/>
      <c r="BC603" s="212"/>
      <c r="BD603" s="212"/>
      <c r="BE603" s="212"/>
    </row>
    <row r="604" spans="1:57" s="213" customFormat="1" ht="16.5" customHeight="1">
      <c r="A604" s="13"/>
      <c r="B604" s="97" t="s">
        <v>819</v>
      </c>
      <c r="C604" s="15">
        <v>15020132</v>
      </c>
      <c r="D604" s="341">
        <v>44</v>
      </c>
      <c r="E604" s="341">
        <v>3</v>
      </c>
      <c r="F604" s="40"/>
      <c r="G604" s="40"/>
      <c r="H604" s="40"/>
      <c r="I604" s="40"/>
      <c r="J604" s="40"/>
      <c r="K604" s="40"/>
      <c r="L604" s="40"/>
      <c r="M604" s="341">
        <v>2</v>
      </c>
      <c r="N604" s="341">
        <v>1</v>
      </c>
      <c r="O604" s="341">
        <v>1</v>
      </c>
      <c r="P604" s="341">
        <v>1</v>
      </c>
      <c r="Q604" s="214"/>
      <c r="R604" s="212"/>
      <c r="S604" s="212"/>
      <c r="BA604" s="214"/>
      <c r="BB604" s="212"/>
      <c r="BC604" s="212"/>
      <c r="BD604" s="212"/>
      <c r="BE604" s="212"/>
    </row>
    <row r="605" spans="1:57" s="213" customFormat="1" ht="16.5" customHeight="1">
      <c r="A605" s="13"/>
      <c r="B605" s="97" t="s">
        <v>1062</v>
      </c>
      <c r="C605" s="15" t="s">
        <v>1064</v>
      </c>
      <c r="D605" s="341">
        <v>32</v>
      </c>
      <c r="E605" s="341">
        <v>1</v>
      </c>
      <c r="F605" s="40"/>
      <c r="G605" s="40"/>
      <c r="H605" s="40"/>
      <c r="I605" s="40"/>
      <c r="J605" s="40"/>
      <c r="K605" s="40"/>
      <c r="L605" s="40"/>
      <c r="M605" s="341">
        <v>2</v>
      </c>
      <c r="N605" s="341">
        <v>1</v>
      </c>
      <c r="O605" s="341">
        <v>1</v>
      </c>
      <c r="P605" s="341">
        <v>1</v>
      </c>
      <c r="Q605" s="214"/>
      <c r="R605" s="212"/>
      <c r="S605" s="212"/>
      <c r="BA605" s="214"/>
      <c r="BB605" s="212"/>
      <c r="BC605" s="212"/>
      <c r="BD605" s="212"/>
      <c r="BE605" s="212"/>
    </row>
    <row r="606" spans="1:57" s="213" customFormat="1" ht="16.5" customHeight="1">
      <c r="A606" s="13"/>
      <c r="B606" s="97" t="s">
        <v>820</v>
      </c>
      <c r="C606" s="15" t="s">
        <v>1063</v>
      </c>
      <c r="D606" s="341">
        <v>348</v>
      </c>
      <c r="E606" s="341">
        <v>57</v>
      </c>
      <c r="F606" s="40"/>
      <c r="G606" s="40"/>
      <c r="H606" s="40"/>
      <c r="I606" s="40"/>
      <c r="J606" s="40"/>
      <c r="K606" s="40"/>
      <c r="L606" s="40"/>
      <c r="M606" s="341">
        <v>20</v>
      </c>
      <c r="N606" s="341">
        <v>11</v>
      </c>
      <c r="O606" s="341">
        <v>12</v>
      </c>
      <c r="P606" s="341">
        <v>6</v>
      </c>
      <c r="Q606" s="214"/>
      <c r="R606" s="212"/>
      <c r="S606" s="212"/>
      <c r="BA606" s="214"/>
      <c r="BB606" s="212"/>
      <c r="BC606" s="212"/>
      <c r="BD606" s="212"/>
      <c r="BE606" s="212"/>
    </row>
    <row r="607" spans="1:57" s="213" customFormat="1" ht="16.5" customHeight="1">
      <c r="A607" s="13"/>
      <c r="B607" s="97" t="s">
        <v>821</v>
      </c>
      <c r="C607" s="15" t="s">
        <v>1065</v>
      </c>
      <c r="D607" s="341">
        <v>76</v>
      </c>
      <c r="E607" s="341">
        <v>8</v>
      </c>
      <c r="F607" s="40"/>
      <c r="G607" s="40"/>
      <c r="H607" s="40"/>
      <c r="I607" s="40"/>
      <c r="J607" s="40"/>
      <c r="K607" s="40"/>
      <c r="L607" s="40"/>
      <c r="M607" s="341">
        <v>4</v>
      </c>
      <c r="N607" s="341">
        <v>2</v>
      </c>
      <c r="O607" s="341">
        <v>3</v>
      </c>
      <c r="P607" s="341">
        <v>1</v>
      </c>
      <c r="Q607" s="214"/>
      <c r="R607" s="212"/>
      <c r="S607" s="212"/>
      <c r="BA607" s="214"/>
      <c r="BB607" s="212"/>
      <c r="BC607" s="212"/>
      <c r="BD607" s="212"/>
      <c r="BE607" s="212"/>
    </row>
    <row r="608" spans="1:57" s="213" customFormat="1" ht="16.5" customHeight="1">
      <c r="A608" s="13"/>
      <c r="B608" s="97" t="s">
        <v>822</v>
      </c>
      <c r="C608" s="15" t="s">
        <v>449</v>
      </c>
      <c r="D608" s="341">
        <v>70</v>
      </c>
      <c r="E608" s="341">
        <v>4</v>
      </c>
      <c r="F608" s="40"/>
      <c r="G608" s="40"/>
      <c r="H608" s="40"/>
      <c r="I608" s="40"/>
      <c r="J608" s="40"/>
      <c r="K608" s="40"/>
      <c r="L608" s="40"/>
      <c r="M608" s="341">
        <v>4</v>
      </c>
      <c r="N608" s="341">
        <v>2</v>
      </c>
      <c r="O608" s="341">
        <v>2</v>
      </c>
      <c r="P608" s="341">
        <v>1</v>
      </c>
      <c r="Q608" s="214"/>
      <c r="R608" s="212"/>
      <c r="S608" s="212"/>
      <c r="BA608" s="214"/>
      <c r="BB608" s="212"/>
      <c r="BC608" s="212"/>
      <c r="BD608" s="212"/>
      <c r="BE608" s="212"/>
    </row>
    <row r="609" spans="1:57" s="213" customFormat="1" ht="16.5" customHeight="1">
      <c r="A609" s="13"/>
      <c r="B609" s="97" t="s">
        <v>823</v>
      </c>
      <c r="C609" s="15" t="s">
        <v>439</v>
      </c>
      <c r="D609" s="341">
        <v>199</v>
      </c>
      <c r="E609" s="341">
        <v>12</v>
      </c>
      <c r="F609" s="40"/>
      <c r="G609" s="40"/>
      <c r="H609" s="40"/>
      <c r="I609" s="40"/>
      <c r="J609" s="40"/>
      <c r="K609" s="40"/>
      <c r="L609" s="40"/>
      <c r="M609" s="341">
        <v>11</v>
      </c>
      <c r="N609" s="341">
        <v>6</v>
      </c>
      <c r="O609" s="341">
        <v>7</v>
      </c>
      <c r="P609" s="341">
        <v>3</v>
      </c>
      <c r="Q609" s="214"/>
      <c r="R609" s="212"/>
      <c r="S609" s="212"/>
      <c r="BA609" s="214"/>
      <c r="BB609" s="212"/>
      <c r="BC609" s="212"/>
      <c r="BD609" s="212"/>
      <c r="BE609" s="212"/>
    </row>
    <row r="610" spans="1:57" s="213" customFormat="1" ht="16.5" customHeight="1">
      <c r="A610" s="13"/>
      <c r="B610" s="97" t="s">
        <v>824</v>
      </c>
      <c r="C610" s="15" t="s">
        <v>1066</v>
      </c>
      <c r="D610" s="341">
        <v>34</v>
      </c>
      <c r="E610" s="341">
        <v>2</v>
      </c>
      <c r="F610" s="40"/>
      <c r="G610" s="40"/>
      <c r="H610" s="40"/>
      <c r="I610" s="40"/>
      <c r="J610" s="40"/>
      <c r="K610" s="40"/>
      <c r="L610" s="40"/>
      <c r="M610" s="341">
        <v>2</v>
      </c>
      <c r="N610" s="341">
        <v>1</v>
      </c>
      <c r="O610" s="341">
        <v>1</v>
      </c>
      <c r="P610" s="341">
        <v>1</v>
      </c>
      <c r="Q610" s="214"/>
      <c r="R610" s="212"/>
      <c r="S610" s="212"/>
      <c r="BA610" s="214"/>
      <c r="BB610" s="212"/>
      <c r="BC610" s="212"/>
      <c r="BD610" s="212"/>
      <c r="BE610" s="212"/>
    </row>
    <row r="611" spans="1:57" s="213" customFormat="1" ht="16.5" customHeight="1">
      <c r="A611" s="13"/>
      <c r="B611" s="97" t="s">
        <v>984</v>
      </c>
      <c r="C611" s="15" t="s">
        <v>1317</v>
      </c>
      <c r="D611" s="341">
        <v>40</v>
      </c>
      <c r="E611" s="341">
        <v>5</v>
      </c>
      <c r="F611" s="40"/>
      <c r="G611" s="40"/>
      <c r="H611" s="40"/>
      <c r="I611" s="40"/>
      <c r="J611" s="40"/>
      <c r="K611" s="40"/>
      <c r="L611" s="40"/>
      <c r="M611" s="341">
        <v>2</v>
      </c>
      <c r="N611" s="341">
        <v>1</v>
      </c>
      <c r="O611" s="341">
        <v>1</v>
      </c>
      <c r="P611" s="341">
        <v>1</v>
      </c>
      <c r="Q611" s="214"/>
      <c r="R611" s="212"/>
      <c r="S611" s="212"/>
      <c r="BA611" s="214"/>
      <c r="BB611" s="212"/>
      <c r="BC611" s="212"/>
      <c r="BD611" s="212"/>
      <c r="BE611" s="212"/>
    </row>
    <row r="612" spans="1:57" s="213" customFormat="1" ht="18.75" customHeight="1">
      <c r="A612" s="13"/>
      <c r="B612" s="105" t="s">
        <v>18</v>
      </c>
      <c r="C612" s="15" t="s">
        <v>19</v>
      </c>
      <c r="D612" s="40">
        <v>32</v>
      </c>
      <c r="E612" s="40">
        <v>9</v>
      </c>
      <c r="F612" s="40">
        <v>40</v>
      </c>
      <c r="G612" s="40">
        <v>40</v>
      </c>
      <c r="H612" s="40">
        <v>40</v>
      </c>
      <c r="I612" s="40">
        <v>40</v>
      </c>
      <c r="J612" s="40"/>
      <c r="K612" s="40">
        <v>40</v>
      </c>
      <c r="L612" s="40">
        <v>2</v>
      </c>
      <c r="M612" s="40">
        <v>2</v>
      </c>
      <c r="N612" s="40">
        <v>1</v>
      </c>
      <c r="O612" s="40">
        <v>1</v>
      </c>
      <c r="P612" s="40">
        <v>1</v>
      </c>
      <c r="Q612" s="214"/>
      <c r="R612" s="212"/>
      <c r="S612" s="212"/>
      <c r="BA612" s="214"/>
      <c r="BB612" s="212"/>
      <c r="BC612" s="212"/>
      <c r="BD612" s="212"/>
      <c r="BE612" s="212"/>
    </row>
    <row r="613" spans="1:57" s="213" customFormat="1" ht="18.75" customHeight="1">
      <c r="A613" s="13"/>
      <c r="B613" s="105" t="s">
        <v>786</v>
      </c>
      <c r="C613" s="15" t="s">
        <v>1296</v>
      </c>
      <c r="D613" s="40">
        <v>107</v>
      </c>
      <c r="E613" s="40">
        <v>6</v>
      </c>
      <c r="F613" s="40"/>
      <c r="G613" s="40"/>
      <c r="H613" s="40"/>
      <c r="I613" s="40"/>
      <c r="J613" s="40"/>
      <c r="K613" s="40"/>
      <c r="L613" s="40">
        <v>9</v>
      </c>
      <c r="M613" s="40">
        <v>6</v>
      </c>
      <c r="N613" s="40">
        <v>3</v>
      </c>
      <c r="O613" s="40">
        <v>4</v>
      </c>
      <c r="P613" s="40">
        <v>2</v>
      </c>
      <c r="Q613" s="214"/>
      <c r="R613" s="212"/>
      <c r="S613" s="212"/>
      <c r="BA613" s="214"/>
      <c r="BB613" s="212"/>
      <c r="BC613" s="212"/>
      <c r="BD613" s="212"/>
      <c r="BE613" s="212"/>
    </row>
    <row r="614" spans="1:57" s="213" customFormat="1" ht="18.75" customHeight="1">
      <c r="A614" s="13"/>
      <c r="B614" s="97" t="s">
        <v>1320</v>
      </c>
      <c r="C614" s="15" t="s">
        <v>1322</v>
      </c>
      <c r="D614" s="40">
        <v>159</v>
      </c>
      <c r="E614" s="40">
        <v>16</v>
      </c>
      <c r="F614" s="40"/>
      <c r="G614" s="40"/>
      <c r="H614" s="40"/>
      <c r="I614" s="40"/>
      <c r="J614" s="40"/>
      <c r="K614" s="40"/>
      <c r="L614" s="40">
        <v>14</v>
      </c>
      <c r="M614" s="40">
        <v>9</v>
      </c>
      <c r="N614" s="40">
        <v>5</v>
      </c>
      <c r="O614" s="40">
        <v>5</v>
      </c>
      <c r="P614" s="40">
        <v>3</v>
      </c>
      <c r="Q614" s="214"/>
      <c r="R614" s="212"/>
      <c r="S614" s="212"/>
      <c r="BA614" s="214"/>
      <c r="BB614" s="212"/>
      <c r="BC614" s="212"/>
      <c r="BD614" s="212"/>
      <c r="BE614" s="212"/>
    </row>
    <row r="615" spans="1:57" s="213" customFormat="1" ht="18.75" customHeight="1">
      <c r="A615" s="13"/>
      <c r="B615" s="105" t="s">
        <v>436</v>
      </c>
      <c r="C615" s="15" t="s">
        <v>437</v>
      </c>
      <c r="D615" s="40">
        <v>567</v>
      </c>
      <c r="E615" s="40">
        <v>78</v>
      </c>
      <c r="F615" s="40">
        <v>340</v>
      </c>
      <c r="G615" s="40">
        <v>350</v>
      </c>
      <c r="H615" s="40">
        <v>350</v>
      </c>
      <c r="I615" s="40">
        <v>350</v>
      </c>
      <c r="J615" s="40"/>
      <c r="K615" s="40">
        <v>350</v>
      </c>
      <c r="L615" s="40">
        <v>52</v>
      </c>
      <c r="M615" s="40">
        <v>32</v>
      </c>
      <c r="N615" s="40">
        <v>18</v>
      </c>
      <c r="O615" s="40">
        <v>19</v>
      </c>
      <c r="P615" s="40">
        <v>9</v>
      </c>
      <c r="Q615" s="214"/>
      <c r="R615" s="212"/>
      <c r="S615" s="212"/>
      <c r="BA615" s="214"/>
      <c r="BB615" s="212"/>
      <c r="BC615" s="212"/>
      <c r="BD615" s="212"/>
      <c r="BE615" s="212"/>
    </row>
    <row r="616" spans="1:57" s="213" customFormat="1" ht="18.75" customHeight="1">
      <c r="A616" s="13"/>
      <c r="B616" s="97" t="s">
        <v>564</v>
      </c>
      <c r="C616" s="15" t="s">
        <v>565</v>
      </c>
      <c r="D616" s="40">
        <v>105</v>
      </c>
      <c r="E616" s="40">
        <v>8</v>
      </c>
      <c r="F616" s="40">
        <v>45</v>
      </c>
      <c r="G616" s="40">
        <v>48</v>
      </c>
      <c r="H616" s="40">
        <v>48</v>
      </c>
      <c r="I616" s="40">
        <v>48</v>
      </c>
      <c r="J616" s="40"/>
      <c r="K616" s="40">
        <v>48</v>
      </c>
      <c r="L616" s="40">
        <v>5</v>
      </c>
      <c r="M616" s="40">
        <v>6</v>
      </c>
      <c r="N616" s="40">
        <v>3</v>
      </c>
      <c r="O616" s="40">
        <v>3</v>
      </c>
      <c r="P616" s="40">
        <v>2</v>
      </c>
      <c r="Q616" s="214"/>
      <c r="R616" s="212"/>
      <c r="S616" s="212"/>
      <c r="BA616" s="214"/>
      <c r="BB616" s="212"/>
      <c r="BC616" s="212"/>
      <c r="BD616" s="212"/>
      <c r="BE616" s="212"/>
    </row>
    <row r="617" spans="1:57" s="213" customFormat="1" ht="18.75" customHeight="1">
      <c r="A617" s="12"/>
      <c r="B617" s="104" t="s">
        <v>670</v>
      </c>
      <c r="C617" s="15"/>
      <c r="D617" s="60">
        <f>D618+D619+D620+D621+D622+D623</f>
        <v>397</v>
      </c>
      <c r="E617" s="60">
        <f aca="true" t="shared" si="17" ref="E617:P617">E618+E619+E620+E621+E622+E623</f>
        <v>97</v>
      </c>
      <c r="F617" s="60" t="e">
        <f t="shared" si="17"/>
        <v>#VALUE!</v>
      </c>
      <c r="G617" s="60">
        <f t="shared" si="17"/>
        <v>35</v>
      </c>
      <c r="H617" s="60">
        <f t="shared" si="17"/>
        <v>40</v>
      </c>
      <c r="I617" s="60">
        <f t="shared" si="17"/>
        <v>40</v>
      </c>
      <c r="J617" s="60">
        <f t="shared" si="17"/>
        <v>0</v>
      </c>
      <c r="K617" s="60">
        <f t="shared" si="17"/>
        <v>40</v>
      </c>
      <c r="L617" s="60">
        <f t="shared" si="17"/>
        <v>0</v>
      </c>
      <c r="M617" s="60">
        <f t="shared" si="17"/>
        <v>22</v>
      </c>
      <c r="N617" s="60">
        <f t="shared" si="17"/>
        <v>13</v>
      </c>
      <c r="O617" s="60">
        <f t="shared" si="17"/>
        <v>13</v>
      </c>
      <c r="P617" s="60">
        <f t="shared" si="17"/>
        <v>3</v>
      </c>
      <c r="Q617" s="214"/>
      <c r="R617" s="212"/>
      <c r="S617" s="212"/>
      <c r="BA617" s="214"/>
      <c r="BB617" s="212"/>
      <c r="BC617" s="212"/>
      <c r="BD617" s="212"/>
      <c r="BE617" s="212"/>
    </row>
    <row r="618" spans="1:19" s="213" customFormat="1" ht="18.75" customHeight="1">
      <c r="A618" s="12"/>
      <c r="B618" s="97" t="s">
        <v>1067</v>
      </c>
      <c r="C618" s="15" t="s">
        <v>1073</v>
      </c>
      <c r="D618" s="341">
        <v>59</v>
      </c>
      <c r="E618" s="341">
        <v>15</v>
      </c>
      <c r="F618" s="40"/>
      <c r="G618" s="40"/>
      <c r="H618" s="40"/>
      <c r="I618" s="40"/>
      <c r="J618" s="40"/>
      <c r="K618" s="40"/>
      <c r="L618" s="60"/>
      <c r="M618" s="341">
        <v>3</v>
      </c>
      <c r="N618" s="341">
        <v>2</v>
      </c>
      <c r="O618" s="341">
        <v>2</v>
      </c>
      <c r="P618" s="341"/>
      <c r="Q618" s="240"/>
      <c r="R618" s="240"/>
      <c r="S618" s="240"/>
    </row>
    <row r="619" spans="1:19" s="211" customFormat="1" ht="18.75" customHeight="1">
      <c r="A619" s="12"/>
      <c r="B619" s="97" t="s">
        <v>1068</v>
      </c>
      <c r="C619" s="15" t="s">
        <v>992</v>
      </c>
      <c r="D619" s="341">
        <v>92</v>
      </c>
      <c r="E619" s="341">
        <v>19</v>
      </c>
      <c r="F619" s="40" t="s">
        <v>556</v>
      </c>
      <c r="G619" s="40">
        <v>35</v>
      </c>
      <c r="H619" s="40">
        <v>40</v>
      </c>
      <c r="I619" s="40">
        <v>40</v>
      </c>
      <c r="J619" s="40"/>
      <c r="K619" s="40">
        <v>40</v>
      </c>
      <c r="L619" s="40"/>
      <c r="M619" s="341">
        <v>5</v>
      </c>
      <c r="N619" s="341">
        <v>3</v>
      </c>
      <c r="O619" s="341">
        <v>3</v>
      </c>
      <c r="P619" s="341">
        <v>1</v>
      </c>
      <c r="Q619" s="210"/>
      <c r="R619" s="210"/>
      <c r="S619" s="210"/>
    </row>
    <row r="620" spans="1:19" s="211" customFormat="1" ht="18.75" customHeight="1">
      <c r="A620" s="12"/>
      <c r="B620" s="97" t="s">
        <v>1069</v>
      </c>
      <c r="C620" s="15" t="s">
        <v>1074</v>
      </c>
      <c r="D620" s="341">
        <v>52</v>
      </c>
      <c r="E620" s="341">
        <v>4</v>
      </c>
      <c r="F620" s="40"/>
      <c r="G620" s="40"/>
      <c r="H620" s="40"/>
      <c r="I620" s="40"/>
      <c r="J620" s="40"/>
      <c r="K620" s="40"/>
      <c r="L620" s="40"/>
      <c r="M620" s="341">
        <v>3</v>
      </c>
      <c r="N620" s="341">
        <v>2</v>
      </c>
      <c r="O620" s="341">
        <v>2</v>
      </c>
      <c r="P620" s="341">
        <v>1</v>
      </c>
      <c r="Q620" s="210"/>
      <c r="R620" s="210"/>
      <c r="S620" s="210"/>
    </row>
    <row r="621" spans="1:19" s="211" customFormat="1" ht="18.75" customHeight="1">
      <c r="A621" s="12"/>
      <c r="B621" s="97" t="s">
        <v>1070</v>
      </c>
      <c r="C621" s="15" t="s">
        <v>1075</v>
      </c>
      <c r="D621" s="341">
        <v>74</v>
      </c>
      <c r="E621" s="341">
        <v>14</v>
      </c>
      <c r="F621" s="40"/>
      <c r="G621" s="40"/>
      <c r="H621" s="40"/>
      <c r="I621" s="40"/>
      <c r="J621" s="40"/>
      <c r="K621" s="40"/>
      <c r="L621" s="40"/>
      <c r="M621" s="341">
        <v>4</v>
      </c>
      <c r="N621" s="341">
        <v>2</v>
      </c>
      <c r="O621" s="341">
        <v>2</v>
      </c>
      <c r="P621" s="341">
        <v>1</v>
      </c>
      <c r="Q621" s="210"/>
      <c r="R621" s="210"/>
      <c r="S621" s="210"/>
    </row>
    <row r="622" spans="1:19" s="211" customFormat="1" ht="18.75" customHeight="1">
      <c r="A622" s="12"/>
      <c r="B622" s="97" t="s">
        <v>1071</v>
      </c>
      <c r="C622" s="15" t="s">
        <v>1076</v>
      </c>
      <c r="D622" s="341">
        <v>35</v>
      </c>
      <c r="E622" s="341">
        <v>12</v>
      </c>
      <c r="F622" s="40"/>
      <c r="G622" s="40"/>
      <c r="H622" s="40"/>
      <c r="I622" s="40"/>
      <c r="J622" s="40"/>
      <c r="K622" s="40"/>
      <c r="L622" s="40"/>
      <c r="M622" s="341">
        <v>2</v>
      </c>
      <c r="N622" s="341">
        <v>1</v>
      </c>
      <c r="O622" s="341">
        <v>1</v>
      </c>
      <c r="P622" s="341"/>
      <c r="Q622" s="210"/>
      <c r="R622" s="210"/>
      <c r="S622" s="210"/>
    </row>
    <row r="623" spans="1:19" s="211" customFormat="1" ht="18.75" customHeight="1">
      <c r="A623" s="12"/>
      <c r="B623" s="97" t="s">
        <v>1072</v>
      </c>
      <c r="C623" s="15" t="s">
        <v>1077</v>
      </c>
      <c r="D623" s="341">
        <v>85</v>
      </c>
      <c r="E623" s="341">
        <v>33</v>
      </c>
      <c r="F623" s="40"/>
      <c r="G623" s="40"/>
      <c r="H623" s="40"/>
      <c r="I623" s="40"/>
      <c r="J623" s="40"/>
      <c r="K623" s="40"/>
      <c r="L623" s="40"/>
      <c r="M623" s="341">
        <v>5</v>
      </c>
      <c r="N623" s="341">
        <v>3</v>
      </c>
      <c r="O623" s="341">
        <v>3</v>
      </c>
      <c r="P623" s="341"/>
      <c r="Q623" s="210"/>
      <c r="R623" s="210"/>
      <c r="S623" s="210"/>
    </row>
    <row r="624" spans="1:19" s="207" customFormat="1" ht="18.75" customHeight="1">
      <c r="A624" s="50"/>
      <c r="B624" s="93" t="s">
        <v>37</v>
      </c>
      <c r="C624" s="94"/>
      <c r="D624" s="60">
        <f aca="true" t="shared" si="18" ref="D624:K624">SUM(D625:D631)</f>
        <v>284</v>
      </c>
      <c r="E624" s="60">
        <f t="shared" si="18"/>
        <v>52</v>
      </c>
      <c r="F624" s="60">
        <f t="shared" si="18"/>
        <v>0</v>
      </c>
      <c r="G624" s="60">
        <f t="shared" si="18"/>
        <v>487</v>
      </c>
      <c r="H624" s="60">
        <f t="shared" si="18"/>
        <v>499</v>
      </c>
      <c r="I624" s="60">
        <f t="shared" si="18"/>
        <v>499</v>
      </c>
      <c r="J624" s="60">
        <f t="shared" si="18"/>
        <v>0</v>
      </c>
      <c r="K624" s="60">
        <f t="shared" si="18"/>
        <v>499</v>
      </c>
      <c r="L624" s="60"/>
      <c r="M624" s="60">
        <f>SUM(M625:M631)</f>
        <v>18</v>
      </c>
      <c r="N624" s="60">
        <f>SUM(N625:N631)</f>
        <v>9</v>
      </c>
      <c r="O624" s="60">
        <f>SUM(O625:O631)</f>
        <v>10</v>
      </c>
      <c r="P624" s="60">
        <f>SUM(P625:P631)</f>
        <v>6</v>
      </c>
      <c r="Q624" s="254">
        <f>SUM(Q625:Q658)</f>
        <v>0</v>
      </c>
      <c r="R624" s="206">
        <f>SUM(R625:R658)</f>
        <v>33</v>
      </c>
      <c r="S624" s="206">
        <f>SUM(S625:S658)</f>
        <v>0</v>
      </c>
    </row>
    <row r="625" spans="1:19" s="211" customFormat="1" ht="18.75" customHeight="1">
      <c r="A625" s="12"/>
      <c r="B625" s="97" t="s">
        <v>825</v>
      </c>
      <c r="C625" s="15">
        <v>15100165</v>
      </c>
      <c r="D625" s="341">
        <v>35</v>
      </c>
      <c r="E625" s="341">
        <v>9</v>
      </c>
      <c r="F625" s="40" t="s">
        <v>556</v>
      </c>
      <c r="G625" s="40">
        <v>407</v>
      </c>
      <c r="H625" s="40">
        <v>415</v>
      </c>
      <c r="I625" s="40">
        <v>415</v>
      </c>
      <c r="J625" s="40"/>
      <c r="K625" s="40">
        <v>415</v>
      </c>
      <c r="L625" s="40"/>
      <c r="M625" s="341">
        <v>2</v>
      </c>
      <c r="N625" s="341">
        <v>1</v>
      </c>
      <c r="O625" s="341">
        <v>1</v>
      </c>
      <c r="P625" s="341">
        <v>1</v>
      </c>
      <c r="Q625" s="210"/>
      <c r="R625" s="210"/>
      <c r="S625" s="210"/>
    </row>
    <row r="626" spans="1:19" s="211" customFormat="1" ht="18.75" customHeight="1">
      <c r="A626" s="12"/>
      <c r="B626" s="97" t="s">
        <v>826</v>
      </c>
      <c r="C626" s="15" t="s">
        <v>457</v>
      </c>
      <c r="D626" s="341">
        <v>31</v>
      </c>
      <c r="E626" s="341">
        <v>5</v>
      </c>
      <c r="F626" s="40"/>
      <c r="G626" s="40"/>
      <c r="H626" s="40"/>
      <c r="I626" s="40"/>
      <c r="J626" s="40"/>
      <c r="K626" s="40"/>
      <c r="L626" s="40"/>
      <c r="M626" s="341">
        <v>2</v>
      </c>
      <c r="N626" s="341">
        <v>1</v>
      </c>
      <c r="O626" s="341">
        <v>1</v>
      </c>
      <c r="P626" s="341"/>
      <c r="Q626" s="210"/>
      <c r="R626" s="210"/>
      <c r="S626" s="210"/>
    </row>
    <row r="627" spans="1:19" s="211" customFormat="1" ht="18.75" customHeight="1">
      <c r="A627" s="12"/>
      <c r="B627" s="97" t="s">
        <v>827</v>
      </c>
      <c r="C627" s="15" t="s">
        <v>476</v>
      </c>
      <c r="D627" s="341">
        <v>56</v>
      </c>
      <c r="E627" s="341">
        <v>2</v>
      </c>
      <c r="F627" s="40"/>
      <c r="G627" s="40"/>
      <c r="H627" s="40"/>
      <c r="I627" s="40"/>
      <c r="J627" s="40"/>
      <c r="K627" s="40"/>
      <c r="L627" s="40"/>
      <c r="M627" s="341">
        <v>4</v>
      </c>
      <c r="N627" s="341">
        <v>2</v>
      </c>
      <c r="O627" s="341">
        <v>2</v>
      </c>
      <c r="P627" s="341">
        <v>1</v>
      </c>
      <c r="Q627" s="210"/>
      <c r="R627" s="210"/>
      <c r="S627" s="210"/>
    </row>
    <row r="628" spans="1:19" s="211" customFormat="1" ht="18.75" customHeight="1">
      <c r="A628" s="12"/>
      <c r="B628" s="97" t="s">
        <v>828</v>
      </c>
      <c r="C628" s="15" t="s">
        <v>476</v>
      </c>
      <c r="D628" s="341">
        <v>39</v>
      </c>
      <c r="E628" s="341">
        <v>20</v>
      </c>
      <c r="F628" s="40"/>
      <c r="G628" s="40"/>
      <c r="H628" s="40"/>
      <c r="I628" s="40"/>
      <c r="J628" s="40"/>
      <c r="K628" s="40"/>
      <c r="L628" s="40"/>
      <c r="M628" s="341">
        <v>2</v>
      </c>
      <c r="N628" s="341">
        <v>1</v>
      </c>
      <c r="O628" s="341">
        <v>2</v>
      </c>
      <c r="P628" s="341">
        <v>1</v>
      </c>
      <c r="Q628" s="210"/>
      <c r="R628" s="210"/>
      <c r="S628" s="210"/>
    </row>
    <row r="629" spans="1:19" s="211" customFormat="1" ht="15.75">
      <c r="A629" s="12"/>
      <c r="B629" s="97" t="s">
        <v>829</v>
      </c>
      <c r="C629" s="15" t="s">
        <v>476</v>
      </c>
      <c r="D629" s="341">
        <v>40</v>
      </c>
      <c r="E629" s="341">
        <v>3</v>
      </c>
      <c r="F629" s="40"/>
      <c r="G629" s="40"/>
      <c r="H629" s="40"/>
      <c r="I629" s="40"/>
      <c r="J629" s="40"/>
      <c r="K629" s="40"/>
      <c r="L629" s="40"/>
      <c r="M629" s="341">
        <v>2</v>
      </c>
      <c r="N629" s="341">
        <v>1</v>
      </c>
      <c r="O629" s="341">
        <v>1</v>
      </c>
      <c r="P629" s="341">
        <v>1</v>
      </c>
      <c r="Q629" s="210"/>
      <c r="R629" s="210"/>
      <c r="S629" s="210"/>
    </row>
    <row r="630" spans="1:19" s="211" customFormat="1" ht="18.75" customHeight="1">
      <c r="A630" s="12"/>
      <c r="B630" s="97" t="s">
        <v>843</v>
      </c>
      <c r="C630" s="15" t="s">
        <v>1078</v>
      </c>
      <c r="D630" s="341">
        <v>51</v>
      </c>
      <c r="E630" s="341">
        <v>3</v>
      </c>
      <c r="F630" s="40" t="s">
        <v>556</v>
      </c>
      <c r="G630" s="40">
        <v>10</v>
      </c>
      <c r="H630" s="40">
        <v>10</v>
      </c>
      <c r="I630" s="40">
        <v>10</v>
      </c>
      <c r="J630" s="40"/>
      <c r="K630" s="40">
        <v>10</v>
      </c>
      <c r="L630" s="40"/>
      <c r="M630" s="341">
        <v>3</v>
      </c>
      <c r="N630" s="341">
        <v>2</v>
      </c>
      <c r="O630" s="341">
        <v>2</v>
      </c>
      <c r="P630" s="341">
        <v>1</v>
      </c>
      <c r="Q630" s="210"/>
      <c r="R630" s="210"/>
      <c r="S630" s="210"/>
    </row>
    <row r="631" spans="1:19" s="211" customFormat="1" ht="15.75">
      <c r="A631" s="12"/>
      <c r="B631" s="97" t="s">
        <v>844</v>
      </c>
      <c r="C631" s="15" t="s">
        <v>1078</v>
      </c>
      <c r="D631" s="341">
        <v>32</v>
      </c>
      <c r="E631" s="341">
        <v>10</v>
      </c>
      <c r="F631" s="40" t="s">
        <v>556</v>
      </c>
      <c r="G631" s="40">
        <v>70</v>
      </c>
      <c r="H631" s="40">
        <v>74</v>
      </c>
      <c r="I631" s="40">
        <v>74</v>
      </c>
      <c r="J631" s="40"/>
      <c r="K631" s="40">
        <v>74</v>
      </c>
      <c r="L631" s="40"/>
      <c r="M631" s="341">
        <v>3</v>
      </c>
      <c r="N631" s="341">
        <v>1</v>
      </c>
      <c r="O631" s="341">
        <v>1</v>
      </c>
      <c r="P631" s="341">
        <v>1</v>
      </c>
      <c r="Q631" s="210"/>
      <c r="R631" s="210"/>
      <c r="S631" s="210"/>
    </row>
    <row r="632" spans="1:188" s="205" customFormat="1" ht="18" customHeight="1">
      <c r="A632" s="13">
        <v>1</v>
      </c>
      <c r="B632" s="92" t="s">
        <v>1345</v>
      </c>
      <c r="C632" s="45"/>
      <c r="D632" s="44">
        <v>745</v>
      </c>
      <c r="E632" s="44">
        <v>170</v>
      </c>
      <c r="F632" s="44">
        <v>3830</v>
      </c>
      <c r="G632" s="44">
        <v>4590</v>
      </c>
      <c r="H632" s="44">
        <v>4610</v>
      </c>
      <c r="I632" s="44">
        <v>4610</v>
      </c>
      <c r="J632" s="44"/>
      <c r="K632" s="44">
        <v>4610</v>
      </c>
      <c r="L632" s="44"/>
      <c r="M632" s="44">
        <f>M633+M637</f>
        <v>16</v>
      </c>
      <c r="N632" s="44">
        <f>N633+N637</f>
        <v>11</v>
      </c>
      <c r="O632" s="44">
        <f>O633+O637</f>
        <v>7</v>
      </c>
      <c r="P632" s="44">
        <f>P633+P637</f>
        <v>7</v>
      </c>
      <c r="Q632" s="201" t="s">
        <v>648</v>
      </c>
      <c r="R632" s="201">
        <v>1</v>
      </c>
      <c r="S632" s="202" t="s">
        <v>923</v>
      </c>
      <c r="T632" s="204"/>
      <c r="U632" s="204"/>
      <c r="V632" s="204"/>
      <c r="W632" s="204"/>
      <c r="X632" s="204"/>
      <c r="Y632" s="204"/>
      <c r="Z632" s="204"/>
      <c r="AA632" s="204"/>
      <c r="AB632" s="204"/>
      <c r="AC632" s="204"/>
      <c r="AD632" s="204"/>
      <c r="AE632" s="204"/>
      <c r="AF632" s="204"/>
      <c r="AG632" s="204"/>
      <c r="AH632" s="204"/>
      <c r="AI632" s="204"/>
      <c r="AJ632" s="204"/>
      <c r="AK632" s="204"/>
      <c r="AL632" s="204"/>
      <c r="AM632" s="204"/>
      <c r="AN632" s="204"/>
      <c r="AO632" s="204"/>
      <c r="AP632" s="204"/>
      <c r="AQ632" s="204"/>
      <c r="AR632" s="204"/>
      <c r="AS632" s="204"/>
      <c r="AT632" s="204"/>
      <c r="AU632" s="204"/>
      <c r="AV632" s="204"/>
      <c r="AW632" s="204"/>
      <c r="AX632" s="204"/>
      <c r="AY632" s="204"/>
      <c r="AZ632" s="204"/>
      <c r="BA632" s="204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  <c r="BZ632" s="204"/>
      <c r="CA632" s="204"/>
      <c r="CB632" s="204"/>
      <c r="CC632" s="204"/>
      <c r="CD632" s="204"/>
      <c r="CE632" s="204"/>
      <c r="CF632" s="204"/>
      <c r="CG632" s="204"/>
      <c r="CH632" s="204"/>
      <c r="CI632" s="204"/>
      <c r="CJ632" s="204"/>
      <c r="CK632" s="204"/>
      <c r="CL632" s="204"/>
      <c r="CM632" s="204"/>
      <c r="CN632" s="204"/>
      <c r="CO632" s="204"/>
      <c r="CP632" s="204"/>
      <c r="CQ632" s="204"/>
      <c r="CR632" s="204"/>
      <c r="CS632" s="204"/>
      <c r="CT632" s="204"/>
      <c r="CU632" s="204"/>
      <c r="CV632" s="204"/>
      <c r="CW632" s="204"/>
      <c r="CX632" s="204"/>
      <c r="CY632" s="204"/>
      <c r="CZ632" s="204"/>
      <c r="DA632" s="204"/>
      <c r="DB632" s="204"/>
      <c r="DC632" s="204"/>
      <c r="DD632" s="204"/>
      <c r="DE632" s="204"/>
      <c r="DF632" s="204"/>
      <c r="DG632" s="204"/>
      <c r="DH632" s="204"/>
      <c r="DI632" s="204"/>
      <c r="DJ632" s="204"/>
      <c r="DK632" s="204"/>
      <c r="DL632" s="204"/>
      <c r="DM632" s="204"/>
      <c r="DN632" s="204"/>
      <c r="DO632" s="204"/>
      <c r="DP632" s="204"/>
      <c r="DQ632" s="204"/>
      <c r="DR632" s="204"/>
      <c r="DS632" s="204"/>
      <c r="DT632" s="204"/>
      <c r="DU632" s="204"/>
      <c r="DV632" s="204"/>
      <c r="DW632" s="204"/>
      <c r="DX632" s="204"/>
      <c r="DY632" s="204"/>
      <c r="DZ632" s="204"/>
      <c r="EA632" s="204"/>
      <c r="EB632" s="204"/>
      <c r="EC632" s="204"/>
      <c r="ED632" s="204"/>
      <c r="EE632" s="204"/>
      <c r="EF632" s="204"/>
      <c r="EG632" s="204"/>
      <c r="EH632" s="204"/>
      <c r="EI632" s="204"/>
      <c r="EJ632" s="204"/>
      <c r="EK632" s="204"/>
      <c r="EL632" s="204"/>
      <c r="EM632" s="204"/>
      <c r="EN632" s="204"/>
      <c r="EO632" s="204"/>
      <c r="EP632" s="204"/>
      <c r="EQ632" s="204"/>
      <c r="ER632" s="204"/>
      <c r="ES632" s="204"/>
      <c r="ET632" s="204"/>
      <c r="EU632" s="204"/>
      <c r="EV632" s="204"/>
      <c r="EW632" s="204"/>
      <c r="EX632" s="204"/>
      <c r="EY632" s="204"/>
      <c r="EZ632" s="204"/>
      <c r="FA632" s="204"/>
      <c r="FB632" s="204"/>
      <c r="FC632" s="204"/>
      <c r="FD632" s="204"/>
      <c r="FE632" s="204"/>
      <c r="FF632" s="204"/>
      <c r="FG632" s="204"/>
      <c r="FH632" s="204"/>
      <c r="FI632" s="204"/>
      <c r="FJ632" s="204"/>
      <c r="FK632" s="204"/>
      <c r="FL632" s="204"/>
      <c r="FM632" s="204"/>
      <c r="FN632" s="204"/>
      <c r="FO632" s="204"/>
      <c r="FP632" s="204"/>
      <c r="FQ632" s="204"/>
      <c r="FR632" s="204"/>
      <c r="FS632" s="204"/>
      <c r="FT632" s="204"/>
      <c r="FU632" s="204"/>
      <c r="FV632" s="204"/>
      <c r="FW632" s="204"/>
      <c r="FX632" s="204"/>
      <c r="FY632" s="204"/>
      <c r="FZ632" s="204"/>
      <c r="GA632" s="204"/>
      <c r="GB632" s="204"/>
      <c r="GC632" s="204"/>
      <c r="GD632" s="204"/>
      <c r="GE632" s="204"/>
      <c r="GF632" s="204"/>
    </row>
    <row r="633" spans="1:57" s="213" customFormat="1" ht="15.75">
      <c r="A633" s="13"/>
      <c r="B633" s="104" t="s">
        <v>669</v>
      </c>
      <c r="C633" s="15"/>
      <c r="D633" s="60">
        <v>46</v>
      </c>
      <c r="E633" s="60">
        <v>10</v>
      </c>
      <c r="F633" s="394"/>
      <c r="G633" s="394"/>
      <c r="H633" s="394"/>
      <c r="I633" s="60"/>
      <c r="J633" s="60"/>
      <c r="K633" s="60"/>
      <c r="L633" s="60"/>
      <c r="M633" s="60">
        <f>SUM(M634:M636)</f>
        <v>7</v>
      </c>
      <c r="N633" s="60">
        <f>SUM(N634:N636)</f>
        <v>5</v>
      </c>
      <c r="O633" s="60">
        <f>SUM(O634:O636)</f>
        <v>4</v>
      </c>
      <c r="P633" s="60">
        <f>SUM(P634:P636)</f>
        <v>3</v>
      </c>
      <c r="Q633" s="214"/>
      <c r="R633" s="212"/>
      <c r="S633" s="212"/>
      <c r="BA633" s="214"/>
      <c r="BB633" s="212"/>
      <c r="BC633" s="212"/>
      <c r="BD633" s="212"/>
      <c r="BE633" s="212"/>
    </row>
    <row r="634" spans="1:57" s="213" customFormat="1" ht="16.5" customHeight="1">
      <c r="A634" s="13"/>
      <c r="B634" s="105" t="s">
        <v>1346</v>
      </c>
      <c r="C634" s="15" t="s">
        <v>1003</v>
      </c>
      <c r="D634" s="40">
        <v>2</v>
      </c>
      <c r="E634" s="40">
        <v>1</v>
      </c>
      <c r="F634" s="40">
        <v>115</v>
      </c>
      <c r="G634" s="40">
        <v>120</v>
      </c>
      <c r="H634" s="40">
        <v>120</v>
      </c>
      <c r="I634" s="40">
        <v>120</v>
      </c>
      <c r="J634" s="40"/>
      <c r="K634" s="40">
        <v>120</v>
      </c>
      <c r="L634" s="40"/>
      <c r="M634" s="40">
        <v>2</v>
      </c>
      <c r="N634" s="40">
        <v>2</v>
      </c>
      <c r="O634" s="40">
        <v>1</v>
      </c>
      <c r="P634" s="40">
        <v>1</v>
      </c>
      <c r="Q634" s="214"/>
      <c r="R634" s="212"/>
      <c r="S634" s="212"/>
      <c r="BA634" s="214"/>
      <c r="BB634" s="212"/>
      <c r="BC634" s="212"/>
      <c r="BD634" s="212"/>
      <c r="BE634" s="212"/>
    </row>
    <row r="635" spans="1:57" s="213" customFormat="1" ht="18.75" customHeight="1">
      <c r="A635" s="13"/>
      <c r="B635" s="105" t="s">
        <v>1347</v>
      </c>
      <c r="C635" s="15" t="s">
        <v>1079</v>
      </c>
      <c r="D635" s="40">
        <v>21</v>
      </c>
      <c r="E635" s="40">
        <v>3</v>
      </c>
      <c r="F635" s="40">
        <v>40</v>
      </c>
      <c r="G635" s="40">
        <v>40</v>
      </c>
      <c r="H635" s="40">
        <v>40</v>
      </c>
      <c r="I635" s="40">
        <v>40</v>
      </c>
      <c r="J635" s="40"/>
      <c r="K635" s="40">
        <v>40</v>
      </c>
      <c r="L635" s="40"/>
      <c r="M635" s="40">
        <v>2</v>
      </c>
      <c r="N635" s="40">
        <v>1</v>
      </c>
      <c r="O635" s="40">
        <v>1</v>
      </c>
      <c r="P635" s="40">
        <v>1</v>
      </c>
      <c r="Q635" s="214"/>
      <c r="R635" s="212"/>
      <c r="S635" s="212"/>
      <c r="BA635" s="214"/>
      <c r="BB635" s="212"/>
      <c r="BC635" s="212"/>
      <c r="BD635" s="212"/>
      <c r="BE635" s="212"/>
    </row>
    <row r="636" spans="1:57" s="213" customFormat="1" ht="18.75" customHeight="1">
      <c r="A636" s="13"/>
      <c r="B636" s="105" t="s">
        <v>1348</v>
      </c>
      <c r="C636" s="15" t="s">
        <v>449</v>
      </c>
      <c r="D636" s="40">
        <v>23</v>
      </c>
      <c r="E636" s="40">
        <v>6</v>
      </c>
      <c r="F636" s="40"/>
      <c r="G636" s="40"/>
      <c r="H636" s="40"/>
      <c r="I636" s="40"/>
      <c r="J636" s="40"/>
      <c r="K636" s="40"/>
      <c r="L636" s="40"/>
      <c r="M636" s="40">
        <v>3</v>
      </c>
      <c r="N636" s="40">
        <v>2</v>
      </c>
      <c r="O636" s="40">
        <v>2</v>
      </c>
      <c r="P636" s="40">
        <v>1</v>
      </c>
      <c r="Q636" s="214"/>
      <c r="R636" s="212"/>
      <c r="S636" s="212"/>
      <c r="BA636" s="214"/>
      <c r="BB636" s="212"/>
      <c r="BC636" s="212"/>
      <c r="BD636" s="212"/>
      <c r="BE636" s="212"/>
    </row>
    <row r="637" spans="1:19" s="207" customFormat="1" ht="18.75" customHeight="1">
      <c r="A637" s="50"/>
      <c r="B637" s="93" t="s">
        <v>37</v>
      </c>
      <c r="C637" s="94"/>
      <c r="D637" s="60">
        <v>63</v>
      </c>
      <c r="E637" s="60">
        <v>19</v>
      </c>
      <c r="F637" s="60"/>
      <c r="G637" s="60"/>
      <c r="H637" s="60"/>
      <c r="I637" s="60"/>
      <c r="J637" s="60"/>
      <c r="K637" s="60"/>
      <c r="L637" s="60"/>
      <c r="M637" s="60">
        <f>M638+M639+M640</f>
        <v>9</v>
      </c>
      <c r="N637" s="60">
        <f>N638+N639+N640</f>
        <v>6</v>
      </c>
      <c r="O637" s="60">
        <f>O638+O639+O640</f>
        <v>3</v>
      </c>
      <c r="P637" s="60">
        <f>P638+P639+P640</f>
        <v>4</v>
      </c>
      <c r="Q637" s="254">
        <f>SUM(Q640:Q674)</f>
        <v>0</v>
      </c>
      <c r="R637" s="206">
        <f>SUM(R640:R674)</f>
        <v>17</v>
      </c>
      <c r="S637" s="206">
        <f>SUM(S640:S674)</f>
        <v>0</v>
      </c>
    </row>
    <row r="638" spans="1:19" s="207" customFormat="1" ht="18.75" customHeight="1">
      <c r="A638" s="50"/>
      <c r="B638" s="97" t="s">
        <v>222</v>
      </c>
      <c r="C638" s="15" t="s">
        <v>718</v>
      </c>
      <c r="D638" s="40">
        <v>17</v>
      </c>
      <c r="E638" s="40">
        <v>10</v>
      </c>
      <c r="F638" s="40"/>
      <c r="G638" s="40"/>
      <c r="H638" s="40"/>
      <c r="I638" s="40"/>
      <c r="J638" s="40"/>
      <c r="K638" s="40"/>
      <c r="L638" s="40"/>
      <c r="M638" s="40">
        <v>5</v>
      </c>
      <c r="N638" s="40">
        <v>2</v>
      </c>
      <c r="O638" s="40">
        <v>2</v>
      </c>
      <c r="P638" s="40">
        <v>2</v>
      </c>
      <c r="Q638" s="230"/>
      <c r="R638" s="230"/>
      <c r="S638" s="230"/>
    </row>
    <row r="639" spans="1:19" s="207" customFormat="1" ht="18.75" customHeight="1">
      <c r="A639" s="50"/>
      <c r="B639" s="97" t="s">
        <v>221</v>
      </c>
      <c r="C639" s="15" t="s">
        <v>1078</v>
      </c>
      <c r="D639" s="40">
        <v>44</v>
      </c>
      <c r="E639" s="40">
        <v>8</v>
      </c>
      <c r="F639" s="40"/>
      <c r="G639" s="40"/>
      <c r="H639" s="40"/>
      <c r="I639" s="40"/>
      <c r="J639" s="40"/>
      <c r="K639" s="40"/>
      <c r="L639" s="40"/>
      <c r="M639" s="40">
        <v>2</v>
      </c>
      <c r="N639" s="40">
        <v>2</v>
      </c>
      <c r="O639" s="40"/>
      <c r="P639" s="40">
        <v>1</v>
      </c>
      <c r="Q639" s="230"/>
      <c r="R639" s="230"/>
      <c r="S639" s="230"/>
    </row>
    <row r="640" spans="1:19" s="211" customFormat="1" ht="18.75" customHeight="1">
      <c r="A640" s="12"/>
      <c r="B640" s="97" t="s">
        <v>1349</v>
      </c>
      <c r="C640" s="15" t="s">
        <v>716</v>
      </c>
      <c r="D640" s="40">
        <v>2</v>
      </c>
      <c r="E640" s="40">
        <v>1</v>
      </c>
      <c r="F640" s="40" t="s">
        <v>556</v>
      </c>
      <c r="G640" s="40">
        <v>407</v>
      </c>
      <c r="H640" s="40">
        <v>415</v>
      </c>
      <c r="I640" s="40">
        <v>415</v>
      </c>
      <c r="J640" s="40"/>
      <c r="K640" s="40">
        <v>415</v>
      </c>
      <c r="L640" s="40"/>
      <c r="M640" s="40">
        <v>2</v>
      </c>
      <c r="N640" s="40">
        <v>2</v>
      </c>
      <c r="O640" s="40">
        <v>1</v>
      </c>
      <c r="P640" s="40">
        <v>1</v>
      </c>
      <c r="Q640" s="210"/>
      <c r="R640" s="210"/>
      <c r="S640" s="210"/>
    </row>
    <row r="641" spans="1:19" s="211" customFormat="1" ht="18.75" customHeight="1">
      <c r="A641" s="12"/>
      <c r="B641" s="392" t="s">
        <v>845</v>
      </c>
      <c r="C641" s="15"/>
      <c r="D641" s="44">
        <v>390</v>
      </c>
      <c r="E641" s="44">
        <v>34</v>
      </c>
      <c r="F641" s="44"/>
      <c r="G641" s="44"/>
      <c r="H641" s="44"/>
      <c r="I641" s="44"/>
      <c r="J641" s="44"/>
      <c r="K641" s="44"/>
      <c r="L641" s="44"/>
      <c r="M641" s="44">
        <f>M642+M644+M645</f>
        <v>7</v>
      </c>
      <c r="N641" s="44">
        <f>N642+N644+N645</f>
        <v>4</v>
      </c>
      <c r="O641" s="44">
        <f>O642+O644+O645</f>
        <v>2</v>
      </c>
      <c r="P641" s="40"/>
      <c r="Q641" s="210"/>
      <c r="R641" s="210"/>
      <c r="S641" s="210"/>
    </row>
    <row r="642" spans="1:57" s="213" customFormat="1" ht="17.25" customHeight="1">
      <c r="A642" s="13"/>
      <c r="B642" s="104" t="s">
        <v>669</v>
      </c>
      <c r="C642" s="15"/>
      <c r="D642" s="60">
        <v>20</v>
      </c>
      <c r="E642" s="60">
        <v>17</v>
      </c>
      <c r="F642" s="394"/>
      <c r="G642" s="394"/>
      <c r="H642" s="394"/>
      <c r="I642" s="60"/>
      <c r="J642" s="60"/>
      <c r="K642" s="60"/>
      <c r="L642" s="60"/>
      <c r="M642" s="60">
        <v>4</v>
      </c>
      <c r="N642" s="60">
        <v>2</v>
      </c>
      <c r="O642" s="390"/>
      <c r="P642" s="390"/>
      <c r="Q642" s="214"/>
      <c r="R642" s="212"/>
      <c r="S642" s="212"/>
      <c r="BA642" s="214"/>
      <c r="BB642" s="212"/>
      <c r="BC642" s="212"/>
      <c r="BD642" s="212"/>
      <c r="BE642" s="212"/>
    </row>
    <row r="643" spans="1:19" s="213" customFormat="1" ht="17.25" customHeight="1">
      <c r="A643" s="388"/>
      <c r="B643" s="97" t="s">
        <v>1080</v>
      </c>
      <c r="C643" s="352">
        <v>15477</v>
      </c>
      <c r="D643" s="341">
        <v>20</v>
      </c>
      <c r="E643" s="341"/>
      <c r="F643" s="44"/>
      <c r="G643" s="44"/>
      <c r="H643" s="44"/>
      <c r="I643" s="40"/>
      <c r="J643" s="40"/>
      <c r="K643" s="40"/>
      <c r="L643" s="60"/>
      <c r="M643" s="341">
        <v>4</v>
      </c>
      <c r="N643" s="341">
        <v>2</v>
      </c>
      <c r="O643" s="341"/>
      <c r="P643" s="341"/>
      <c r="Q643" s="240"/>
      <c r="R643" s="240"/>
      <c r="S643" s="240"/>
    </row>
    <row r="644" spans="1:57" s="213" customFormat="1" ht="18.75" customHeight="1">
      <c r="A644" s="12"/>
      <c r="B644" s="104" t="s">
        <v>670</v>
      </c>
      <c r="C644" s="15"/>
      <c r="D644" s="398">
        <v>51</v>
      </c>
      <c r="E644" s="60">
        <v>11</v>
      </c>
      <c r="F644" s="40">
        <f aca="true" t="shared" si="19" ref="F644:K644">F646+F647+F645+F648+F649+F650</f>
        <v>3830</v>
      </c>
      <c r="G644" s="40">
        <f t="shared" si="19"/>
        <v>4590</v>
      </c>
      <c r="H644" s="40">
        <f t="shared" si="19"/>
        <v>4610</v>
      </c>
      <c r="I644" s="40">
        <f t="shared" si="19"/>
        <v>4610</v>
      </c>
      <c r="J644" s="40">
        <f t="shared" si="19"/>
        <v>0</v>
      </c>
      <c r="K644" s="40">
        <f t="shared" si="19"/>
        <v>4610</v>
      </c>
      <c r="L644" s="40"/>
      <c r="M644" s="40"/>
      <c r="N644" s="40"/>
      <c r="O644" s="40"/>
      <c r="P644" s="40"/>
      <c r="Q644" s="214"/>
      <c r="R644" s="212"/>
      <c r="S644" s="212"/>
      <c r="BA644" s="214"/>
      <c r="BB644" s="212"/>
      <c r="BC644" s="212"/>
      <c r="BD644" s="212"/>
      <c r="BE644" s="212"/>
    </row>
    <row r="645" spans="1:19" s="207" customFormat="1" ht="17.25" customHeight="1">
      <c r="A645" s="50"/>
      <c r="B645" s="93" t="s">
        <v>37</v>
      </c>
      <c r="C645" s="94"/>
      <c r="D645" s="60">
        <f>10+5+4</f>
        <v>19</v>
      </c>
      <c r="E645" s="60">
        <v>6</v>
      </c>
      <c r="F645" s="60"/>
      <c r="G645" s="60"/>
      <c r="H645" s="60"/>
      <c r="I645" s="60"/>
      <c r="J645" s="60"/>
      <c r="K645" s="60"/>
      <c r="L645" s="60"/>
      <c r="M645" s="60">
        <f>M646+M647</f>
        <v>3</v>
      </c>
      <c r="N645" s="60">
        <v>2</v>
      </c>
      <c r="O645" s="60">
        <v>2</v>
      </c>
      <c r="P645" s="341" t="s">
        <v>998</v>
      </c>
      <c r="Q645" s="254">
        <f>SUM(Q648:Q687)</f>
        <v>0</v>
      </c>
      <c r="R645" s="206">
        <f>SUM(R648:R687)</f>
        <v>9</v>
      </c>
      <c r="S645" s="206">
        <f>SUM(S648:S687)</f>
        <v>0</v>
      </c>
    </row>
    <row r="646" spans="1:19" s="211" customFormat="1" ht="18.75" customHeight="1">
      <c r="A646" s="12"/>
      <c r="B646" s="97" t="s">
        <v>827</v>
      </c>
      <c r="C646" s="352" t="s">
        <v>476</v>
      </c>
      <c r="D646" s="341">
        <v>10</v>
      </c>
      <c r="E646" s="341">
        <v>3</v>
      </c>
      <c r="F646" s="40"/>
      <c r="G646" s="40"/>
      <c r="H646" s="40"/>
      <c r="I646" s="40"/>
      <c r="J646" s="40"/>
      <c r="K646" s="40"/>
      <c r="L646" s="40"/>
      <c r="M646" s="341">
        <v>1</v>
      </c>
      <c r="N646" s="341">
        <v>1</v>
      </c>
      <c r="O646" s="341">
        <v>1</v>
      </c>
      <c r="P646" s="341" t="s">
        <v>998</v>
      </c>
      <c r="Q646" s="210"/>
      <c r="R646" s="210"/>
      <c r="S646" s="210"/>
    </row>
    <row r="647" spans="1:19" s="211" customFormat="1" ht="18.75" customHeight="1">
      <c r="A647" s="12"/>
      <c r="B647" s="97" t="s">
        <v>846</v>
      </c>
      <c r="C647" s="352" t="s">
        <v>1081</v>
      </c>
      <c r="D647" s="341">
        <v>5</v>
      </c>
      <c r="E647" s="341" t="s">
        <v>998</v>
      </c>
      <c r="F647" s="40"/>
      <c r="G647" s="40"/>
      <c r="H647" s="40"/>
      <c r="I647" s="40"/>
      <c r="J647" s="40"/>
      <c r="K647" s="40"/>
      <c r="L647" s="40"/>
      <c r="M647" s="341">
        <v>2</v>
      </c>
      <c r="N647" s="341"/>
      <c r="O647" s="341"/>
      <c r="P647" s="341"/>
      <c r="Q647" s="210"/>
      <c r="R647" s="210"/>
      <c r="S647" s="210"/>
    </row>
    <row r="648" spans="1:19" s="211" customFormat="1" ht="18.75" customHeight="1">
      <c r="A648" s="12"/>
      <c r="B648" s="97" t="s">
        <v>847</v>
      </c>
      <c r="C648" s="352" t="s">
        <v>457</v>
      </c>
      <c r="D648" s="341">
        <v>4</v>
      </c>
      <c r="E648" s="341">
        <v>3</v>
      </c>
      <c r="F648" s="40"/>
      <c r="G648" s="40"/>
      <c r="H648" s="40"/>
      <c r="I648" s="40"/>
      <c r="J648" s="40"/>
      <c r="K648" s="40"/>
      <c r="L648" s="40"/>
      <c r="M648" s="341" t="s">
        <v>998</v>
      </c>
      <c r="N648" s="341">
        <v>1</v>
      </c>
      <c r="O648" s="341">
        <v>1</v>
      </c>
      <c r="P648" s="341" t="s">
        <v>998</v>
      </c>
      <c r="Q648" s="210"/>
      <c r="R648" s="210"/>
      <c r="S648" s="210"/>
    </row>
    <row r="649" spans="1:188" s="57" customFormat="1" ht="17.25" customHeight="1">
      <c r="A649" s="13">
        <v>2</v>
      </c>
      <c r="B649" s="92" t="s">
        <v>325</v>
      </c>
      <c r="C649" s="45"/>
      <c r="D649" s="44">
        <v>290</v>
      </c>
      <c r="E649" s="44">
        <v>115</v>
      </c>
      <c r="F649" s="44">
        <v>3830</v>
      </c>
      <c r="G649" s="44">
        <v>4590</v>
      </c>
      <c r="H649" s="44">
        <v>4610</v>
      </c>
      <c r="I649" s="44">
        <v>4610</v>
      </c>
      <c r="J649" s="44"/>
      <c r="K649" s="44">
        <v>4610</v>
      </c>
      <c r="L649" s="44">
        <f>SUM(L650,L655)</f>
        <v>14</v>
      </c>
      <c r="M649" s="44">
        <f>SUM(M650,M655)</f>
        <v>14</v>
      </c>
      <c r="N649" s="44">
        <f>SUM(N650,N655)</f>
        <v>14</v>
      </c>
      <c r="O649" s="44">
        <f>SUM(O650,O655)</f>
        <v>14</v>
      </c>
      <c r="P649" s="44">
        <f>SUM(P650,P655)</f>
        <v>14</v>
      </c>
      <c r="Q649" s="54" t="s">
        <v>648</v>
      </c>
      <c r="R649" s="54">
        <v>1</v>
      </c>
      <c r="S649" s="55" t="s">
        <v>923</v>
      </c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  <c r="AR649" s="56"/>
      <c r="AS649" s="56"/>
      <c r="AT649" s="56"/>
      <c r="AU649" s="56"/>
      <c r="AV649" s="56"/>
      <c r="AW649" s="56"/>
      <c r="AX649" s="56"/>
      <c r="AY649" s="56"/>
      <c r="AZ649" s="56"/>
      <c r="BA649" s="56"/>
      <c r="BB649" s="56"/>
      <c r="BC649" s="56"/>
      <c r="BD649" s="56"/>
      <c r="BE649" s="56"/>
      <c r="BF649" s="56"/>
      <c r="BG649" s="56"/>
      <c r="BH649" s="56"/>
      <c r="BI649" s="56"/>
      <c r="BJ649" s="56"/>
      <c r="BK649" s="56"/>
      <c r="BL649" s="56"/>
      <c r="BM649" s="56"/>
      <c r="BN649" s="56"/>
      <c r="BO649" s="56"/>
      <c r="BP649" s="56"/>
      <c r="BQ649" s="56"/>
      <c r="BR649" s="56"/>
      <c r="BS649" s="56"/>
      <c r="BT649" s="56"/>
      <c r="BU649" s="56"/>
      <c r="BV649" s="56"/>
      <c r="BW649" s="56"/>
      <c r="BX649" s="56"/>
      <c r="BY649" s="56"/>
      <c r="BZ649" s="56"/>
      <c r="CA649" s="56"/>
      <c r="CB649" s="56"/>
      <c r="CC649" s="56"/>
      <c r="CD649" s="56"/>
      <c r="CE649" s="56"/>
      <c r="CF649" s="56"/>
      <c r="CG649" s="56"/>
      <c r="CH649" s="56"/>
      <c r="CI649" s="56"/>
      <c r="CJ649" s="56"/>
      <c r="CK649" s="56"/>
      <c r="CL649" s="56"/>
      <c r="CM649" s="56"/>
      <c r="CN649" s="56"/>
      <c r="CO649" s="56"/>
      <c r="CP649" s="56"/>
      <c r="CQ649" s="56"/>
      <c r="CR649" s="56"/>
      <c r="CS649" s="56"/>
      <c r="CT649" s="56"/>
      <c r="CU649" s="56"/>
      <c r="CV649" s="56"/>
      <c r="CW649" s="56"/>
      <c r="CX649" s="56"/>
      <c r="CY649" s="56"/>
      <c r="CZ649" s="56"/>
      <c r="DA649" s="56"/>
      <c r="DB649" s="56"/>
      <c r="DC649" s="56"/>
      <c r="DD649" s="56"/>
      <c r="DE649" s="56"/>
      <c r="DF649" s="56"/>
      <c r="DG649" s="56"/>
      <c r="DH649" s="56"/>
      <c r="DI649" s="56"/>
      <c r="DJ649" s="56"/>
      <c r="DK649" s="56"/>
      <c r="DL649" s="56"/>
      <c r="DM649" s="56"/>
      <c r="DN649" s="56"/>
      <c r="DO649" s="56"/>
      <c r="DP649" s="56"/>
      <c r="DQ649" s="56"/>
      <c r="DR649" s="56"/>
      <c r="DS649" s="56"/>
      <c r="DT649" s="56"/>
      <c r="DU649" s="56"/>
      <c r="DV649" s="56"/>
      <c r="DW649" s="56"/>
      <c r="DX649" s="56"/>
      <c r="DY649" s="56"/>
      <c r="DZ649" s="56"/>
      <c r="EA649" s="56"/>
      <c r="EB649" s="56"/>
      <c r="EC649" s="56"/>
      <c r="ED649" s="56"/>
      <c r="EE649" s="56"/>
      <c r="EF649" s="56"/>
      <c r="EG649" s="56"/>
      <c r="EH649" s="56"/>
      <c r="EI649" s="56"/>
      <c r="EJ649" s="56"/>
      <c r="EK649" s="56"/>
      <c r="EL649" s="56"/>
      <c r="EM649" s="56"/>
      <c r="EN649" s="56"/>
      <c r="EO649" s="56"/>
      <c r="EP649" s="56"/>
      <c r="EQ649" s="56"/>
      <c r="ER649" s="56"/>
      <c r="ES649" s="56"/>
      <c r="ET649" s="56"/>
      <c r="EU649" s="56"/>
      <c r="EV649" s="56"/>
      <c r="EW649" s="56"/>
      <c r="EX649" s="56"/>
      <c r="EY649" s="56"/>
      <c r="EZ649" s="56"/>
      <c r="FA649" s="56"/>
      <c r="FB649" s="56"/>
      <c r="FC649" s="56"/>
      <c r="FD649" s="56"/>
      <c r="FE649" s="56"/>
      <c r="FF649" s="56"/>
      <c r="FG649" s="56"/>
      <c r="FH649" s="56"/>
      <c r="FI649" s="56"/>
      <c r="FJ649" s="56"/>
      <c r="FK649" s="56"/>
      <c r="FL649" s="56"/>
      <c r="FM649" s="56"/>
      <c r="FN649" s="56"/>
      <c r="FO649" s="56"/>
      <c r="FP649" s="56"/>
      <c r="FQ649" s="56"/>
      <c r="FR649" s="56"/>
      <c r="FS649" s="56"/>
      <c r="FT649" s="56"/>
      <c r="FU649" s="56"/>
      <c r="FV649" s="56"/>
      <c r="FW649" s="56"/>
      <c r="FX649" s="56"/>
      <c r="FY649" s="56"/>
      <c r="FZ649" s="56"/>
      <c r="GA649" s="56"/>
      <c r="GB649" s="56"/>
      <c r="GC649" s="56"/>
      <c r="GD649" s="56"/>
      <c r="GE649" s="56"/>
      <c r="GF649" s="56"/>
    </row>
    <row r="650" spans="1:57" s="43" customFormat="1" ht="17.25" customHeight="1">
      <c r="A650" s="13"/>
      <c r="B650" s="104" t="s">
        <v>669</v>
      </c>
      <c r="C650" s="15"/>
      <c r="D650" s="40"/>
      <c r="E650" s="40"/>
      <c r="F650" s="44"/>
      <c r="G650" s="44"/>
      <c r="H650" s="44"/>
      <c r="I650" s="40"/>
      <c r="J650" s="40"/>
      <c r="K650" s="40"/>
      <c r="L650" s="60">
        <f>SUM(L651:L654)</f>
        <v>10</v>
      </c>
      <c r="M650" s="60">
        <f>SUM(M651:M654)</f>
        <v>10</v>
      </c>
      <c r="N650" s="60">
        <f>SUM(N651:N654)</f>
        <v>10</v>
      </c>
      <c r="O650" s="60">
        <f>SUM(O651:O654)</f>
        <v>10</v>
      </c>
      <c r="P650" s="60">
        <f>SUM(P651:P654)</f>
        <v>10</v>
      </c>
      <c r="Q650" s="70"/>
      <c r="R650" s="41"/>
      <c r="S650" s="41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BA650" s="49"/>
      <c r="BB650" s="42"/>
      <c r="BC650" s="42"/>
      <c r="BD650" s="42"/>
      <c r="BE650" s="42"/>
    </row>
    <row r="651" spans="1:57" s="43" customFormat="1" ht="17.25" customHeight="1">
      <c r="A651" s="13"/>
      <c r="B651" s="105" t="s">
        <v>421</v>
      </c>
      <c r="C651" s="15" t="s">
        <v>1315</v>
      </c>
      <c r="D651" s="40"/>
      <c r="E651" s="40"/>
      <c r="F651" s="40">
        <v>115</v>
      </c>
      <c r="G651" s="40">
        <v>120</v>
      </c>
      <c r="H651" s="40">
        <v>120</v>
      </c>
      <c r="I651" s="40">
        <v>120</v>
      </c>
      <c r="J651" s="40"/>
      <c r="K651" s="40">
        <v>120</v>
      </c>
      <c r="L651" s="40">
        <v>2</v>
      </c>
      <c r="M651" s="40">
        <v>2</v>
      </c>
      <c r="N651" s="40">
        <v>2</v>
      </c>
      <c r="O651" s="40">
        <v>2</v>
      </c>
      <c r="P651" s="40">
        <v>2</v>
      </c>
      <c r="Q651" s="70"/>
      <c r="R651" s="41"/>
      <c r="S651" s="41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BA651" s="49"/>
      <c r="BB651" s="42"/>
      <c r="BC651" s="42"/>
      <c r="BD651" s="42"/>
      <c r="BE651" s="42"/>
    </row>
    <row r="652" spans="1:57" s="43" customFormat="1" ht="17.25" customHeight="1">
      <c r="A652" s="13"/>
      <c r="B652" s="105" t="s">
        <v>1032</v>
      </c>
      <c r="C652" s="15" t="s">
        <v>1033</v>
      </c>
      <c r="D652" s="40"/>
      <c r="E652" s="40"/>
      <c r="F652" s="40"/>
      <c r="G652" s="40"/>
      <c r="H652" s="40"/>
      <c r="I652" s="40"/>
      <c r="J652" s="40"/>
      <c r="K652" s="40"/>
      <c r="L652" s="40">
        <v>6</v>
      </c>
      <c r="M652" s="40">
        <v>6</v>
      </c>
      <c r="N652" s="40">
        <v>6</v>
      </c>
      <c r="O652" s="40">
        <v>6</v>
      </c>
      <c r="P652" s="40">
        <v>6</v>
      </c>
      <c r="Q652" s="70"/>
      <c r="R652" s="41"/>
      <c r="S652" s="41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BA652" s="49"/>
      <c r="BB652" s="42"/>
      <c r="BC652" s="42"/>
      <c r="BD652" s="42"/>
      <c r="BE652" s="42"/>
    </row>
    <row r="653" spans="1:57" s="43" customFormat="1" ht="17.25" customHeight="1">
      <c r="A653" s="13"/>
      <c r="B653" s="105" t="s">
        <v>1004</v>
      </c>
      <c r="C653" s="15" t="s">
        <v>449</v>
      </c>
      <c r="D653" s="40"/>
      <c r="E653" s="40"/>
      <c r="F653" s="40">
        <v>62</v>
      </c>
      <c r="G653" s="40">
        <v>62</v>
      </c>
      <c r="H653" s="40">
        <v>62</v>
      </c>
      <c r="I653" s="40">
        <v>62</v>
      </c>
      <c r="J653" s="40"/>
      <c r="K653" s="40">
        <v>62</v>
      </c>
      <c r="L653" s="40">
        <v>1</v>
      </c>
      <c r="M653" s="40">
        <v>1</v>
      </c>
      <c r="N653" s="40">
        <v>1</v>
      </c>
      <c r="O653" s="40">
        <v>1</v>
      </c>
      <c r="P653" s="40">
        <v>1</v>
      </c>
      <c r="Q653" s="70"/>
      <c r="R653" s="41"/>
      <c r="S653" s="41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BA653" s="49"/>
      <c r="BB653" s="42"/>
      <c r="BC653" s="42"/>
      <c r="BD653" s="42"/>
      <c r="BE653" s="42"/>
    </row>
    <row r="654" spans="1:57" s="43" customFormat="1" ht="17.25" customHeight="1">
      <c r="A654" s="13"/>
      <c r="B654" s="97" t="s">
        <v>797</v>
      </c>
      <c r="C654" s="29" t="s">
        <v>798</v>
      </c>
      <c r="D654" s="40"/>
      <c r="E654" s="40"/>
      <c r="F654" s="40">
        <v>110</v>
      </c>
      <c r="G654" s="40">
        <v>115</v>
      </c>
      <c r="H654" s="40">
        <v>115</v>
      </c>
      <c r="I654" s="40">
        <v>115</v>
      </c>
      <c r="J654" s="40"/>
      <c r="K654" s="40">
        <v>115</v>
      </c>
      <c r="L654" s="40">
        <v>1</v>
      </c>
      <c r="M654" s="40">
        <v>1</v>
      </c>
      <c r="N654" s="40">
        <v>1</v>
      </c>
      <c r="O654" s="40">
        <v>1</v>
      </c>
      <c r="P654" s="40">
        <v>1</v>
      </c>
      <c r="Q654" s="70"/>
      <c r="R654" s="41"/>
      <c r="S654" s="41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BA654" s="49"/>
      <c r="BB654" s="42"/>
      <c r="BC654" s="42"/>
      <c r="BD654" s="42"/>
      <c r="BE654" s="42"/>
    </row>
    <row r="655" spans="1:48" s="18" customFormat="1" ht="17.25" customHeight="1">
      <c r="A655" s="50"/>
      <c r="B655" s="93" t="s">
        <v>37</v>
      </c>
      <c r="C655" s="16"/>
      <c r="D655" s="52"/>
      <c r="E655" s="52"/>
      <c r="F655" s="52"/>
      <c r="G655" s="52"/>
      <c r="H655" s="52"/>
      <c r="I655" s="52"/>
      <c r="J655" s="52"/>
      <c r="K655" s="52"/>
      <c r="L655" s="60">
        <f>SUM(L656:L657)</f>
        <v>4</v>
      </c>
      <c r="M655" s="60">
        <f>SUM(M656:M657)</f>
        <v>4</v>
      </c>
      <c r="N655" s="60">
        <f>SUM(N656:N657)</f>
        <v>4</v>
      </c>
      <c r="O655" s="60">
        <f>SUM(O656:O657)</f>
        <v>4</v>
      </c>
      <c r="P655" s="60">
        <f>SUM(P656:P657)</f>
        <v>4</v>
      </c>
      <c r="Q655" s="238">
        <f>SUM(Q656:Q695)</f>
        <v>0</v>
      </c>
      <c r="R655" s="52">
        <f>SUM(R656:R695)</f>
        <v>4</v>
      </c>
      <c r="S655" s="52">
        <f>SUM(S656:S695)</f>
        <v>0</v>
      </c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</row>
    <row r="656" spans="1:48" s="27" customFormat="1" ht="17.25" customHeight="1">
      <c r="A656" s="12"/>
      <c r="B656" s="97" t="s">
        <v>72</v>
      </c>
      <c r="C656" s="29" t="s">
        <v>73</v>
      </c>
      <c r="D656" s="40"/>
      <c r="E656" s="40"/>
      <c r="F656" s="40" t="s">
        <v>556</v>
      </c>
      <c r="G656" s="40">
        <v>407</v>
      </c>
      <c r="H656" s="40">
        <v>415</v>
      </c>
      <c r="I656" s="40">
        <v>415</v>
      </c>
      <c r="J656" s="40"/>
      <c r="K656" s="40">
        <v>415</v>
      </c>
      <c r="L656" s="40">
        <v>2</v>
      </c>
      <c r="M656" s="40">
        <v>2</v>
      </c>
      <c r="N656" s="40">
        <v>2</v>
      </c>
      <c r="O656" s="40">
        <v>2</v>
      </c>
      <c r="P656" s="40">
        <v>2</v>
      </c>
      <c r="Q656" s="30"/>
      <c r="R656" s="30"/>
      <c r="S656" s="30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</row>
    <row r="657" spans="1:48" s="27" customFormat="1" ht="30" customHeight="1">
      <c r="A657" s="12"/>
      <c r="B657" s="105" t="s">
        <v>611</v>
      </c>
      <c r="C657" s="15" t="s">
        <v>612</v>
      </c>
      <c r="D657" s="40"/>
      <c r="E657" s="40"/>
      <c r="F657" s="40" t="s">
        <v>556</v>
      </c>
      <c r="G657" s="40">
        <v>10</v>
      </c>
      <c r="H657" s="40">
        <v>10</v>
      </c>
      <c r="I657" s="40">
        <v>10</v>
      </c>
      <c r="J657" s="40"/>
      <c r="K657" s="40">
        <v>10</v>
      </c>
      <c r="L657" s="40">
        <v>2</v>
      </c>
      <c r="M657" s="40">
        <v>2</v>
      </c>
      <c r="N657" s="40">
        <v>2</v>
      </c>
      <c r="O657" s="40">
        <v>2</v>
      </c>
      <c r="P657" s="40">
        <v>2</v>
      </c>
      <c r="Q657" s="30"/>
      <c r="R657" s="30"/>
      <c r="S657" s="30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</row>
    <row r="658" spans="1:188" s="205" customFormat="1" ht="18.75" customHeight="1">
      <c r="A658" s="13">
        <v>3</v>
      </c>
      <c r="B658" s="92" t="s">
        <v>193</v>
      </c>
      <c r="C658" s="45"/>
      <c r="D658" s="44">
        <v>1202</v>
      </c>
      <c r="E658" s="44">
        <v>219</v>
      </c>
      <c r="F658" s="44"/>
      <c r="G658" s="44">
        <v>1401</v>
      </c>
      <c r="H658" s="44">
        <v>1402</v>
      </c>
      <c r="I658" s="44">
        <v>1402</v>
      </c>
      <c r="J658" s="44">
        <v>1402</v>
      </c>
      <c r="K658" s="44">
        <v>1402</v>
      </c>
      <c r="L658" s="44"/>
      <c r="M658" s="44">
        <f>M659+M666</f>
        <v>10</v>
      </c>
      <c r="N658" s="44">
        <f>N659+N666</f>
        <v>8</v>
      </c>
      <c r="O658" s="44">
        <f>O659+O666</f>
        <v>7</v>
      </c>
      <c r="P658" s="44">
        <f>P659+P666</f>
        <v>4</v>
      </c>
      <c r="Q658" s="201" t="s">
        <v>648</v>
      </c>
      <c r="R658" s="201">
        <v>1</v>
      </c>
      <c r="S658" s="202" t="s">
        <v>1044</v>
      </c>
      <c r="T658" s="204"/>
      <c r="U658" s="204"/>
      <c r="V658" s="204"/>
      <c r="W658" s="204"/>
      <c r="X658" s="204"/>
      <c r="Y658" s="204"/>
      <c r="Z658" s="204"/>
      <c r="AA658" s="204"/>
      <c r="AB658" s="204"/>
      <c r="AC658" s="204"/>
      <c r="AD658" s="204"/>
      <c r="AE658" s="204"/>
      <c r="AF658" s="204"/>
      <c r="AG658" s="204"/>
      <c r="AH658" s="204"/>
      <c r="AI658" s="204"/>
      <c r="AJ658" s="204"/>
      <c r="AK658" s="204"/>
      <c r="AL658" s="204"/>
      <c r="AM658" s="204"/>
      <c r="AN658" s="204"/>
      <c r="AO658" s="204"/>
      <c r="AP658" s="204"/>
      <c r="AQ658" s="204"/>
      <c r="AR658" s="204"/>
      <c r="AS658" s="204"/>
      <c r="AT658" s="204"/>
      <c r="AU658" s="204"/>
      <c r="AV658" s="204"/>
      <c r="AW658" s="204"/>
      <c r="AX658" s="204"/>
      <c r="AY658" s="204"/>
      <c r="AZ658" s="204"/>
      <c r="BA658" s="204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  <c r="BZ658" s="204"/>
      <c r="CA658" s="204"/>
      <c r="CB658" s="204"/>
      <c r="CC658" s="204"/>
      <c r="CD658" s="204"/>
      <c r="CE658" s="204"/>
      <c r="CF658" s="204"/>
      <c r="CG658" s="204"/>
      <c r="CH658" s="204"/>
      <c r="CI658" s="204"/>
      <c r="CJ658" s="204"/>
      <c r="CK658" s="204"/>
      <c r="CL658" s="204"/>
      <c r="CM658" s="204"/>
      <c r="CN658" s="204"/>
      <c r="CO658" s="204"/>
      <c r="CP658" s="204"/>
      <c r="CQ658" s="204"/>
      <c r="CR658" s="204"/>
      <c r="CS658" s="204"/>
      <c r="CT658" s="204"/>
      <c r="CU658" s="204"/>
      <c r="CV658" s="204"/>
      <c r="CW658" s="204"/>
      <c r="CX658" s="204"/>
      <c r="CY658" s="204"/>
      <c r="CZ658" s="204"/>
      <c r="DA658" s="204"/>
      <c r="DB658" s="204"/>
      <c r="DC658" s="204"/>
      <c r="DD658" s="204"/>
      <c r="DE658" s="204"/>
      <c r="DF658" s="204"/>
      <c r="DG658" s="204"/>
      <c r="DH658" s="204"/>
      <c r="DI658" s="204"/>
      <c r="DJ658" s="204"/>
      <c r="DK658" s="204"/>
      <c r="DL658" s="204"/>
      <c r="DM658" s="204"/>
      <c r="DN658" s="204"/>
      <c r="DO658" s="204"/>
      <c r="DP658" s="204"/>
      <c r="DQ658" s="204"/>
      <c r="DR658" s="204"/>
      <c r="DS658" s="204"/>
      <c r="DT658" s="204"/>
      <c r="DU658" s="204"/>
      <c r="DV658" s="204"/>
      <c r="DW658" s="204"/>
      <c r="DX658" s="204"/>
      <c r="DY658" s="204"/>
      <c r="DZ658" s="204"/>
      <c r="EA658" s="204"/>
      <c r="EB658" s="204"/>
      <c r="EC658" s="204"/>
      <c r="ED658" s="204"/>
      <c r="EE658" s="204"/>
      <c r="EF658" s="204"/>
      <c r="EG658" s="204"/>
      <c r="EH658" s="204"/>
      <c r="EI658" s="204"/>
      <c r="EJ658" s="204"/>
      <c r="EK658" s="204"/>
      <c r="EL658" s="204"/>
      <c r="EM658" s="204"/>
      <c r="EN658" s="204"/>
      <c r="EO658" s="204"/>
      <c r="EP658" s="204"/>
      <c r="EQ658" s="204"/>
      <c r="ER658" s="204"/>
      <c r="ES658" s="204"/>
      <c r="ET658" s="204"/>
      <c r="EU658" s="204"/>
      <c r="EV658" s="204"/>
      <c r="EW658" s="204"/>
      <c r="EX658" s="204"/>
      <c r="EY658" s="204"/>
      <c r="EZ658" s="204"/>
      <c r="FA658" s="204"/>
      <c r="FB658" s="204"/>
      <c r="FC658" s="204"/>
      <c r="FD658" s="204"/>
      <c r="FE658" s="204"/>
      <c r="FF658" s="204"/>
      <c r="FG658" s="204"/>
      <c r="FH658" s="204"/>
      <c r="FI658" s="204"/>
      <c r="FJ658" s="204"/>
      <c r="FK658" s="204"/>
      <c r="FL658" s="204"/>
      <c r="FM658" s="204"/>
      <c r="FN658" s="204"/>
      <c r="FO658" s="204"/>
      <c r="FP658" s="204"/>
      <c r="FQ658" s="204"/>
      <c r="FR658" s="204"/>
      <c r="FS658" s="204"/>
      <c r="FT658" s="204"/>
      <c r="FU658" s="204"/>
      <c r="FV658" s="204"/>
      <c r="FW658" s="204"/>
      <c r="FX658" s="204"/>
      <c r="FY658" s="204"/>
      <c r="FZ658" s="204"/>
      <c r="GA658" s="204"/>
      <c r="GB658" s="204"/>
      <c r="GC658" s="204"/>
      <c r="GD658" s="204"/>
      <c r="GE658" s="204"/>
      <c r="GF658" s="204"/>
    </row>
    <row r="659" spans="1:57" s="213" customFormat="1" ht="15.75">
      <c r="A659" s="12"/>
      <c r="B659" s="104" t="s">
        <v>669</v>
      </c>
      <c r="C659" s="15"/>
      <c r="D659" s="60">
        <f>D660+D661+D662+D663+D664+D665</f>
        <v>120</v>
      </c>
      <c r="E659" s="60">
        <f aca="true" t="shared" si="20" ref="E659:P659">E660+E661+E662+E663+E664+E665</f>
        <v>25</v>
      </c>
      <c r="F659" s="60">
        <f t="shared" si="20"/>
        <v>0</v>
      </c>
      <c r="G659" s="60">
        <f t="shared" si="20"/>
        <v>0</v>
      </c>
      <c r="H659" s="60">
        <f t="shared" si="20"/>
        <v>0</v>
      </c>
      <c r="I659" s="60">
        <f t="shared" si="20"/>
        <v>0</v>
      </c>
      <c r="J659" s="60">
        <f t="shared" si="20"/>
        <v>0</v>
      </c>
      <c r="K659" s="60">
        <f t="shared" si="20"/>
        <v>0</v>
      </c>
      <c r="L659" s="60"/>
      <c r="M659" s="60">
        <f t="shared" si="20"/>
        <v>8</v>
      </c>
      <c r="N659" s="60">
        <f t="shared" si="20"/>
        <v>7</v>
      </c>
      <c r="O659" s="60">
        <f t="shared" si="20"/>
        <v>6</v>
      </c>
      <c r="P659" s="60">
        <f t="shared" si="20"/>
        <v>4</v>
      </c>
      <c r="Q659" s="214"/>
      <c r="R659" s="212"/>
      <c r="S659" s="212"/>
      <c r="BA659" s="214"/>
      <c r="BB659" s="212"/>
      <c r="BC659" s="212"/>
      <c r="BD659" s="212"/>
      <c r="BE659" s="212"/>
    </row>
    <row r="660" spans="1:19" s="213" customFormat="1" ht="15.75">
      <c r="A660" s="12"/>
      <c r="B660" s="105" t="s">
        <v>1082</v>
      </c>
      <c r="C660" s="15" t="s">
        <v>1003</v>
      </c>
      <c r="D660" s="40">
        <v>3</v>
      </c>
      <c r="E660" s="40">
        <v>2</v>
      </c>
      <c r="F660" s="40"/>
      <c r="G660" s="40"/>
      <c r="H660" s="40"/>
      <c r="I660" s="40"/>
      <c r="J660" s="40"/>
      <c r="K660" s="40"/>
      <c r="L660" s="40"/>
      <c r="M660" s="40">
        <v>2</v>
      </c>
      <c r="N660" s="40">
        <v>1</v>
      </c>
      <c r="O660" s="40"/>
      <c r="P660" s="40"/>
      <c r="Q660" s="214"/>
      <c r="R660" s="212"/>
      <c r="S660" s="212"/>
    </row>
    <row r="661" spans="1:19" s="213" customFormat="1" ht="15.75">
      <c r="A661" s="12"/>
      <c r="B661" s="105" t="s">
        <v>1316</v>
      </c>
      <c r="C661" s="15" t="s">
        <v>1317</v>
      </c>
      <c r="D661" s="40">
        <v>10</v>
      </c>
      <c r="E661" s="40">
        <v>5</v>
      </c>
      <c r="F661" s="40"/>
      <c r="G661" s="40"/>
      <c r="H661" s="40"/>
      <c r="I661" s="40"/>
      <c r="J661" s="40"/>
      <c r="K661" s="40"/>
      <c r="L661" s="40"/>
      <c r="M661" s="40"/>
      <c r="N661" s="40">
        <v>1</v>
      </c>
      <c r="O661" s="40">
        <v>1</v>
      </c>
      <c r="P661" s="40">
        <v>1</v>
      </c>
      <c r="Q661" s="214"/>
      <c r="R661" s="212"/>
      <c r="S661" s="212"/>
    </row>
    <row r="662" spans="1:19" s="213" customFormat="1" ht="15.75">
      <c r="A662" s="12"/>
      <c r="B662" s="105" t="s">
        <v>472</v>
      </c>
      <c r="C662" s="15" t="s">
        <v>1084</v>
      </c>
      <c r="D662" s="40">
        <v>23</v>
      </c>
      <c r="E662" s="40">
        <v>5</v>
      </c>
      <c r="F662" s="40"/>
      <c r="G662" s="40"/>
      <c r="H662" s="40"/>
      <c r="I662" s="40"/>
      <c r="J662" s="40"/>
      <c r="K662" s="40"/>
      <c r="L662" s="40"/>
      <c r="M662" s="40"/>
      <c r="N662" s="40">
        <v>1</v>
      </c>
      <c r="O662" s="40">
        <v>1</v>
      </c>
      <c r="P662" s="40">
        <v>1</v>
      </c>
      <c r="Q662" s="214"/>
      <c r="R662" s="212"/>
      <c r="S662" s="212"/>
    </row>
    <row r="663" spans="1:19" s="213" customFormat="1" ht="15.75">
      <c r="A663" s="12"/>
      <c r="B663" s="105" t="s">
        <v>473</v>
      </c>
      <c r="C663" s="15" t="s">
        <v>469</v>
      </c>
      <c r="D663" s="40">
        <v>19</v>
      </c>
      <c r="E663" s="40"/>
      <c r="F663" s="40"/>
      <c r="G663" s="40"/>
      <c r="H663" s="40"/>
      <c r="I663" s="40"/>
      <c r="J663" s="40"/>
      <c r="K663" s="40"/>
      <c r="L663" s="40"/>
      <c r="M663" s="40">
        <v>2</v>
      </c>
      <c r="N663" s="40">
        <v>1</v>
      </c>
      <c r="O663" s="40">
        <v>1</v>
      </c>
      <c r="P663" s="40"/>
      <c r="Q663" s="214"/>
      <c r="R663" s="212"/>
      <c r="S663" s="212"/>
    </row>
    <row r="664" spans="1:19" s="213" customFormat="1" ht="15.75">
      <c r="A664" s="12"/>
      <c r="B664" s="105" t="s">
        <v>474</v>
      </c>
      <c r="C664" s="15" t="s">
        <v>470</v>
      </c>
      <c r="D664" s="40">
        <v>29</v>
      </c>
      <c r="E664" s="40">
        <v>4</v>
      </c>
      <c r="F664" s="40"/>
      <c r="G664" s="40"/>
      <c r="H664" s="40"/>
      <c r="I664" s="40"/>
      <c r="J664" s="40"/>
      <c r="K664" s="40"/>
      <c r="L664" s="40"/>
      <c r="M664" s="40">
        <v>2</v>
      </c>
      <c r="N664" s="40">
        <v>1</v>
      </c>
      <c r="O664" s="40">
        <v>1</v>
      </c>
      <c r="P664" s="40"/>
      <c r="Q664" s="214"/>
      <c r="R664" s="212"/>
      <c r="S664" s="212"/>
    </row>
    <row r="665" spans="1:19" s="213" customFormat="1" ht="15.75">
      <c r="A665" s="12"/>
      <c r="B665" s="105" t="s">
        <v>1083</v>
      </c>
      <c r="C665" s="15" t="s">
        <v>471</v>
      </c>
      <c r="D665" s="40">
        <v>36</v>
      </c>
      <c r="E665" s="40">
        <v>9</v>
      </c>
      <c r="F665" s="40"/>
      <c r="G665" s="40"/>
      <c r="H665" s="40"/>
      <c r="I665" s="40"/>
      <c r="J665" s="40"/>
      <c r="K665" s="40"/>
      <c r="L665" s="40"/>
      <c r="M665" s="40">
        <v>2</v>
      </c>
      <c r="N665" s="40">
        <v>2</v>
      </c>
      <c r="O665" s="40">
        <v>2</v>
      </c>
      <c r="P665" s="40">
        <v>2</v>
      </c>
      <c r="Q665" s="214"/>
      <c r="R665" s="212"/>
      <c r="S665" s="212"/>
    </row>
    <row r="666" spans="1:19" s="207" customFormat="1" ht="18" customHeight="1">
      <c r="A666" s="50"/>
      <c r="B666" s="93" t="s">
        <v>37</v>
      </c>
      <c r="C666" s="94"/>
      <c r="D666" s="60">
        <f>D667+D668</f>
        <v>9</v>
      </c>
      <c r="E666" s="60">
        <f aca="true" t="shared" si="21" ref="E666:S666">E667+E668</f>
        <v>2</v>
      </c>
      <c r="F666" s="60">
        <f t="shared" si="21"/>
        <v>0</v>
      </c>
      <c r="G666" s="60">
        <f t="shared" si="21"/>
        <v>8</v>
      </c>
      <c r="H666" s="60">
        <f t="shared" si="21"/>
        <v>9</v>
      </c>
      <c r="I666" s="60">
        <f t="shared" si="21"/>
        <v>9</v>
      </c>
      <c r="J666" s="60">
        <f t="shared" si="21"/>
        <v>9</v>
      </c>
      <c r="K666" s="60">
        <f t="shared" si="21"/>
        <v>9</v>
      </c>
      <c r="L666" s="60">
        <f t="shared" si="21"/>
        <v>1</v>
      </c>
      <c r="M666" s="60">
        <f t="shared" si="21"/>
        <v>2</v>
      </c>
      <c r="N666" s="60">
        <f t="shared" si="21"/>
        <v>1</v>
      </c>
      <c r="O666" s="60">
        <f t="shared" si="21"/>
        <v>1</v>
      </c>
      <c r="P666" s="60"/>
      <c r="Q666" s="206">
        <f t="shared" si="21"/>
        <v>0</v>
      </c>
      <c r="R666" s="206">
        <f t="shared" si="21"/>
        <v>0</v>
      </c>
      <c r="S666" s="206">
        <f t="shared" si="21"/>
        <v>0</v>
      </c>
    </row>
    <row r="667" spans="1:19" s="211" customFormat="1" ht="18.75" customHeight="1">
      <c r="A667" s="12"/>
      <c r="B667" s="97" t="s">
        <v>807</v>
      </c>
      <c r="C667" s="15" t="s">
        <v>810</v>
      </c>
      <c r="D667" s="40">
        <v>8</v>
      </c>
      <c r="E667" s="40">
        <v>1</v>
      </c>
      <c r="F667" s="40"/>
      <c r="G667" s="40">
        <v>8</v>
      </c>
      <c r="H667" s="40">
        <v>9</v>
      </c>
      <c r="I667" s="40">
        <v>9</v>
      </c>
      <c r="J667" s="40">
        <v>9</v>
      </c>
      <c r="K667" s="40">
        <v>9</v>
      </c>
      <c r="L667" s="40">
        <v>1</v>
      </c>
      <c r="M667" s="40">
        <v>1</v>
      </c>
      <c r="N667" s="40">
        <v>1</v>
      </c>
      <c r="O667" s="40">
        <v>1</v>
      </c>
      <c r="P667" s="40"/>
      <c r="Q667" s="210"/>
      <c r="R667" s="210"/>
      <c r="S667" s="210"/>
    </row>
    <row r="668" spans="1:19" s="211" customFormat="1" ht="18.75" customHeight="1">
      <c r="A668" s="12"/>
      <c r="B668" s="97" t="s">
        <v>475</v>
      </c>
      <c r="C668" s="15" t="s">
        <v>476</v>
      </c>
      <c r="D668" s="40">
        <v>1</v>
      </c>
      <c r="E668" s="40">
        <v>1</v>
      </c>
      <c r="F668" s="40"/>
      <c r="G668" s="40"/>
      <c r="H668" s="40"/>
      <c r="I668" s="40"/>
      <c r="J668" s="40"/>
      <c r="K668" s="40"/>
      <c r="L668" s="40"/>
      <c r="M668" s="40">
        <v>1</v>
      </c>
      <c r="N668" s="40"/>
      <c r="O668" s="40"/>
      <c r="P668" s="40"/>
      <c r="Q668" s="210"/>
      <c r="R668" s="210"/>
      <c r="S668" s="210"/>
    </row>
    <row r="669" spans="1:188" s="57" customFormat="1" ht="19.5" customHeight="1">
      <c r="A669" s="13">
        <v>4</v>
      </c>
      <c r="B669" s="92" t="s">
        <v>77</v>
      </c>
      <c r="C669" s="45"/>
      <c r="D669" s="44">
        <v>1890</v>
      </c>
      <c r="E669" s="44">
        <v>194</v>
      </c>
      <c r="F669" s="44">
        <v>1890</v>
      </c>
      <c r="G669" s="44">
        <v>1890</v>
      </c>
      <c r="H669" s="44">
        <v>1890</v>
      </c>
      <c r="I669" s="44">
        <v>1890</v>
      </c>
      <c r="J669" s="44"/>
      <c r="K669" s="44">
        <v>1895</v>
      </c>
      <c r="L669" s="44">
        <f aca="true" t="shared" si="22" ref="L669:P670">L670</f>
        <v>5</v>
      </c>
      <c r="M669" s="44">
        <f t="shared" si="22"/>
        <v>1</v>
      </c>
      <c r="N669" s="44" t="str">
        <f t="shared" si="22"/>
        <v> -</v>
      </c>
      <c r="O669" s="44">
        <f t="shared" si="22"/>
        <v>1</v>
      </c>
      <c r="P669" s="44">
        <f t="shared" si="22"/>
        <v>4</v>
      </c>
      <c r="Q669" s="54" t="s">
        <v>648</v>
      </c>
      <c r="R669" s="54">
        <v>1</v>
      </c>
      <c r="S669" s="55" t="s">
        <v>924</v>
      </c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  <c r="AQ669" s="56"/>
      <c r="AR669" s="56"/>
      <c r="AS669" s="56"/>
      <c r="AT669" s="56"/>
      <c r="AU669" s="56"/>
      <c r="AV669" s="56"/>
      <c r="AW669" s="56"/>
      <c r="AX669" s="56"/>
      <c r="AY669" s="56"/>
      <c r="AZ669" s="56"/>
      <c r="BA669" s="56"/>
      <c r="BB669" s="56"/>
      <c r="BC669" s="56"/>
      <c r="BD669" s="56"/>
      <c r="BE669" s="56"/>
      <c r="BF669" s="56"/>
      <c r="BG669" s="56"/>
      <c r="BH669" s="56"/>
      <c r="BI669" s="56"/>
      <c r="BJ669" s="56"/>
      <c r="BK669" s="56"/>
      <c r="BL669" s="56"/>
      <c r="BM669" s="56"/>
      <c r="BN669" s="56"/>
      <c r="BO669" s="56"/>
      <c r="BP669" s="56"/>
      <c r="BQ669" s="56"/>
      <c r="BR669" s="56"/>
      <c r="BS669" s="56"/>
      <c r="BT669" s="56"/>
      <c r="BU669" s="56"/>
      <c r="BV669" s="56"/>
      <c r="BW669" s="56"/>
      <c r="BX669" s="56"/>
      <c r="BY669" s="56"/>
      <c r="BZ669" s="56"/>
      <c r="CA669" s="56"/>
      <c r="CB669" s="56"/>
      <c r="CC669" s="56"/>
      <c r="CD669" s="56"/>
      <c r="CE669" s="56"/>
      <c r="CF669" s="56"/>
      <c r="CG669" s="56"/>
      <c r="CH669" s="56"/>
      <c r="CI669" s="56"/>
      <c r="CJ669" s="56"/>
      <c r="CK669" s="56"/>
      <c r="CL669" s="56"/>
      <c r="CM669" s="56"/>
      <c r="CN669" s="56"/>
      <c r="CO669" s="56"/>
      <c r="CP669" s="56"/>
      <c r="CQ669" s="56"/>
      <c r="CR669" s="56"/>
      <c r="CS669" s="56"/>
      <c r="CT669" s="56"/>
      <c r="CU669" s="56"/>
      <c r="CV669" s="56"/>
      <c r="CW669" s="56"/>
      <c r="CX669" s="56"/>
      <c r="CY669" s="56"/>
      <c r="CZ669" s="56"/>
      <c r="DA669" s="56"/>
      <c r="DB669" s="56"/>
      <c r="DC669" s="56"/>
      <c r="DD669" s="56"/>
      <c r="DE669" s="56"/>
      <c r="DF669" s="56"/>
      <c r="DG669" s="56"/>
      <c r="DH669" s="56"/>
      <c r="DI669" s="56"/>
      <c r="DJ669" s="56"/>
      <c r="DK669" s="56"/>
      <c r="DL669" s="56"/>
      <c r="DM669" s="56"/>
      <c r="DN669" s="56"/>
      <c r="DO669" s="56"/>
      <c r="DP669" s="56"/>
      <c r="DQ669" s="56"/>
      <c r="DR669" s="56"/>
      <c r="DS669" s="56"/>
      <c r="DT669" s="56"/>
      <c r="DU669" s="56"/>
      <c r="DV669" s="56"/>
      <c r="DW669" s="56"/>
      <c r="DX669" s="56"/>
      <c r="DY669" s="56"/>
      <c r="DZ669" s="56"/>
      <c r="EA669" s="56"/>
      <c r="EB669" s="56"/>
      <c r="EC669" s="56"/>
      <c r="ED669" s="56"/>
      <c r="EE669" s="56"/>
      <c r="EF669" s="56"/>
      <c r="EG669" s="56"/>
      <c r="EH669" s="56"/>
      <c r="EI669" s="56"/>
      <c r="EJ669" s="56"/>
      <c r="EK669" s="56"/>
      <c r="EL669" s="56"/>
      <c r="EM669" s="56"/>
      <c r="EN669" s="56"/>
      <c r="EO669" s="56"/>
      <c r="EP669" s="56"/>
      <c r="EQ669" s="56"/>
      <c r="ER669" s="56"/>
      <c r="ES669" s="56"/>
      <c r="ET669" s="56"/>
      <c r="EU669" s="56"/>
      <c r="EV669" s="56"/>
      <c r="EW669" s="56"/>
      <c r="EX669" s="56"/>
      <c r="EY669" s="56"/>
      <c r="EZ669" s="56"/>
      <c r="FA669" s="56"/>
      <c r="FB669" s="56"/>
      <c r="FC669" s="56"/>
      <c r="FD669" s="56"/>
      <c r="FE669" s="56"/>
      <c r="FF669" s="56"/>
      <c r="FG669" s="56"/>
      <c r="FH669" s="56"/>
      <c r="FI669" s="56"/>
      <c r="FJ669" s="56"/>
      <c r="FK669" s="56"/>
      <c r="FL669" s="56"/>
      <c r="FM669" s="56"/>
      <c r="FN669" s="56"/>
      <c r="FO669" s="56"/>
      <c r="FP669" s="56"/>
      <c r="FQ669" s="56"/>
      <c r="FR669" s="56"/>
      <c r="FS669" s="56"/>
      <c r="FT669" s="56"/>
      <c r="FU669" s="56"/>
      <c r="FV669" s="56"/>
      <c r="FW669" s="56"/>
      <c r="FX669" s="56"/>
      <c r="FY669" s="56"/>
      <c r="FZ669" s="56"/>
      <c r="GA669" s="56"/>
      <c r="GB669" s="56"/>
      <c r="GC669" s="56"/>
      <c r="GD669" s="56"/>
      <c r="GE669" s="56"/>
      <c r="GF669" s="56"/>
    </row>
    <row r="670" spans="1:57" s="43" customFormat="1" ht="15.75">
      <c r="A670" s="12"/>
      <c r="B670" s="104" t="s">
        <v>669</v>
      </c>
      <c r="C670" s="15"/>
      <c r="D670" s="40"/>
      <c r="E670" s="40"/>
      <c r="F670" s="40"/>
      <c r="G670" s="40"/>
      <c r="H670" s="40"/>
      <c r="I670" s="40"/>
      <c r="J670" s="40"/>
      <c r="K670" s="40"/>
      <c r="L670" s="60">
        <f t="shared" si="22"/>
        <v>5</v>
      </c>
      <c r="M670" s="60">
        <f t="shared" si="22"/>
        <v>1</v>
      </c>
      <c r="N670" s="60" t="str">
        <f t="shared" si="22"/>
        <v> -</v>
      </c>
      <c r="O670" s="60">
        <f t="shared" si="22"/>
        <v>1</v>
      </c>
      <c r="P670" s="60">
        <f t="shared" si="22"/>
        <v>4</v>
      </c>
      <c r="Q670" s="70"/>
      <c r="R670" s="41"/>
      <c r="S670" s="41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BA670" s="49"/>
      <c r="BB670" s="42"/>
      <c r="BC670" s="42"/>
      <c r="BD670" s="42"/>
      <c r="BE670" s="42"/>
    </row>
    <row r="671" spans="1:57" s="43" customFormat="1" ht="16.5" customHeight="1">
      <c r="A671" s="12"/>
      <c r="B671" s="105" t="s">
        <v>1316</v>
      </c>
      <c r="C671" s="15" t="s">
        <v>1317</v>
      </c>
      <c r="D671" s="40"/>
      <c r="E671" s="40"/>
      <c r="F671" s="40">
        <v>49</v>
      </c>
      <c r="G671" s="40">
        <v>49</v>
      </c>
      <c r="H671" s="40">
        <v>49</v>
      </c>
      <c r="I671" s="40">
        <v>49</v>
      </c>
      <c r="J671" s="40"/>
      <c r="K671" s="40">
        <v>49</v>
      </c>
      <c r="L671" s="40">
        <v>5</v>
      </c>
      <c r="M671" s="40">
        <v>1</v>
      </c>
      <c r="N671" s="40" t="s">
        <v>556</v>
      </c>
      <c r="O671" s="40">
        <v>1</v>
      </c>
      <c r="P671" s="40">
        <v>4</v>
      </c>
      <c r="Q671" s="70"/>
      <c r="R671" s="41"/>
      <c r="S671" s="41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BA671" s="49"/>
      <c r="BB671" s="42"/>
      <c r="BC671" s="42"/>
      <c r="BD671" s="42"/>
      <c r="BE671" s="42"/>
    </row>
    <row r="672" spans="1:188" s="276" customFormat="1" ht="30" customHeight="1">
      <c r="A672" s="13">
        <v>5</v>
      </c>
      <c r="B672" s="92" t="s">
        <v>80</v>
      </c>
      <c r="C672" s="45"/>
      <c r="D672" s="44">
        <v>269</v>
      </c>
      <c r="E672" s="44">
        <v>25</v>
      </c>
      <c r="F672" s="44">
        <v>1890</v>
      </c>
      <c r="G672" s="44">
        <v>1890</v>
      </c>
      <c r="H672" s="44">
        <v>1890</v>
      </c>
      <c r="I672" s="44">
        <v>1890</v>
      </c>
      <c r="J672" s="44"/>
      <c r="K672" s="44">
        <v>1895</v>
      </c>
      <c r="L672" s="44"/>
      <c r="M672" s="44">
        <v>4</v>
      </c>
      <c r="N672" s="44">
        <v>5</v>
      </c>
      <c r="O672" s="44">
        <v>1</v>
      </c>
      <c r="P672" s="44">
        <v>2</v>
      </c>
      <c r="Q672" s="290" t="s">
        <v>648</v>
      </c>
      <c r="R672" s="290">
        <v>1</v>
      </c>
      <c r="S672" s="291" t="s">
        <v>924</v>
      </c>
      <c r="T672" s="275"/>
      <c r="U672" s="275"/>
      <c r="V672" s="275"/>
      <c r="W672" s="275"/>
      <c r="X672" s="275"/>
      <c r="Y672" s="275"/>
      <c r="Z672" s="275"/>
      <c r="AA672" s="275"/>
      <c r="AB672" s="275"/>
      <c r="AC672" s="275"/>
      <c r="AD672" s="275"/>
      <c r="AE672" s="275"/>
      <c r="AF672" s="275"/>
      <c r="AG672" s="275"/>
      <c r="AH672" s="275"/>
      <c r="AI672" s="275"/>
      <c r="AJ672" s="275"/>
      <c r="AK672" s="275"/>
      <c r="AL672" s="275"/>
      <c r="AM672" s="275"/>
      <c r="AN672" s="275"/>
      <c r="AO672" s="275"/>
      <c r="AP672" s="275"/>
      <c r="AQ672" s="275"/>
      <c r="AR672" s="275"/>
      <c r="AS672" s="275"/>
      <c r="AT672" s="275"/>
      <c r="AU672" s="275"/>
      <c r="AV672" s="275"/>
      <c r="AW672" s="275"/>
      <c r="AX672" s="275"/>
      <c r="AY672" s="275"/>
      <c r="AZ672" s="275"/>
      <c r="BA672" s="275"/>
      <c r="BB672" s="275"/>
      <c r="BC672" s="275"/>
      <c r="BD672" s="275"/>
      <c r="BE672" s="275"/>
      <c r="BF672" s="275"/>
      <c r="BG672" s="275"/>
      <c r="BH672" s="275"/>
      <c r="BI672" s="275"/>
      <c r="BJ672" s="275"/>
      <c r="BK672" s="275"/>
      <c r="BL672" s="275"/>
      <c r="BM672" s="275"/>
      <c r="BN672" s="275"/>
      <c r="BO672" s="275"/>
      <c r="BP672" s="275"/>
      <c r="BQ672" s="275"/>
      <c r="BR672" s="275"/>
      <c r="BS672" s="275"/>
      <c r="BT672" s="275"/>
      <c r="BU672" s="275"/>
      <c r="BV672" s="275"/>
      <c r="BW672" s="275"/>
      <c r="BX672" s="275"/>
      <c r="BY672" s="275"/>
      <c r="BZ672" s="275"/>
      <c r="CA672" s="275"/>
      <c r="CB672" s="275"/>
      <c r="CC672" s="275"/>
      <c r="CD672" s="275"/>
      <c r="CE672" s="275"/>
      <c r="CF672" s="275"/>
      <c r="CG672" s="275"/>
      <c r="CH672" s="275"/>
      <c r="CI672" s="275"/>
      <c r="CJ672" s="275"/>
      <c r="CK672" s="275"/>
      <c r="CL672" s="275"/>
      <c r="CM672" s="275"/>
      <c r="CN672" s="275"/>
      <c r="CO672" s="275"/>
      <c r="CP672" s="275"/>
      <c r="CQ672" s="275"/>
      <c r="CR672" s="275"/>
      <c r="CS672" s="275"/>
      <c r="CT672" s="275"/>
      <c r="CU672" s="275"/>
      <c r="CV672" s="275"/>
      <c r="CW672" s="275"/>
      <c r="CX672" s="275"/>
      <c r="CY672" s="275"/>
      <c r="CZ672" s="275"/>
      <c r="DA672" s="275"/>
      <c r="DB672" s="275"/>
      <c r="DC672" s="275"/>
      <c r="DD672" s="275"/>
      <c r="DE672" s="275"/>
      <c r="DF672" s="275"/>
      <c r="DG672" s="275"/>
      <c r="DH672" s="275"/>
      <c r="DI672" s="275"/>
      <c r="DJ672" s="275"/>
      <c r="DK672" s="275"/>
      <c r="DL672" s="275"/>
      <c r="DM672" s="275"/>
      <c r="DN672" s="275"/>
      <c r="DO672" s="275"/>
      <c r="DP672" s="275"/>
      <c r="DQ672" s="275"/>
      <c r="DR672" s="275"/>
      <c r="DS672" s="275"/>
      <c r="DT672" s="275"/>
      <c r="DU672" s="275"/>
      <c r="DV672" s="275"/>
      <c r="DW672" s="275"/>
      <c r="DX672" s="275"/>
      <c r="DY672" s="275"/>
      <c r="DZ672" s="275"/>
      <c r="EA672" s="275"/>
      <c r="EB672" s="275"/>
      <c r="EC672" s="275"/>
      <c r="ED672" s="275"/>
      <c r="EE672" s="275"/>
      <c r="EF672" s="275"/>
      <c r="EG672" s="275"/>
      <c r="EH672" s="275"/>
      <c r="EI672" s="275"/>
      <c r="EJ672" s="275"/>
      <c r="EK672" s="275"/>
      <c r="EL672" s="275"/>
      <c r="EM672" s="275"/>
      <c r="EN672" s="275"/>
      <c r="EO672" s="275"/>
      <c r="EP672" s="275"/>
      <c r="EQ672" s="275"/>
      <c r="ER672" s="275"/>
      <c r="ES672" s="275"/>
      <c r="ET672" s="275"/>
      <c r="EU672" s="275"/>
      <c r="EV672" s="275"/>
      <c r="EW672" s="275"/>
      <c r="EX672" s="275"/>
      <c r="EY672" s="275"/>
      <c r="EZ672" s="275"/>
      <c r="FA672" s="275"/>
      <c r="FB672" s="275"/>
      <c r="FC672" s="275"/>
      <c r="FD672" s="275"/>
      <c r="FE672" s="275"/>
      <c r="FF672" s="275"/>
      <c r="FG672" s="275"/>
      <c r="FH672" s="275"/>
      <c r="FI672" s="275"/>
      <c r="FJ672" s="275"/>
      <c r="FK672" s="275"/>
      <c r="FL672" s="275"/>
      <c r="FM672" s="275"/>
      <c r="FN672" s="275"/>
      <c r="FO672" s="275"/>
      <c r="FP672" s="275"/>
      <c r="FQ672" s="275"/>
      <c r="FR672" s="275"/>
      <c r="FS672" s="275"/>
      <c r="FT672" s="275"/>
      <c r="FU672" s="275"/>
      <c r="FV672" s="275"/>
      <c r="FW672" s="275"/>
      <c r="FX672" s="275"/>
      <c r="FY672" s="275"/>
      <c r="FZ672" s="275"/>
      <c r="GA672" s="275"/>
      <c r="GB672" s="275"/>
      <c r="GC672" s="275"/>
      <c r="GD672" s="275"/>
      <c r="GE672" s="275"/>
      <c r="GF672" s="275"/>
    </row>
    <row r="673" spans="1:57" s="288" customFormat="1" ht="15.75">
      <c r="A673" s="12"/>
      <c r="B673" s="104" t="s">
        <v>669</v>
      </c>
      <c r="C673" s="15"/>
      <c r="D673" s="60">
        <f>D674+D675</f>
        <v>4</v>
      </c>
      <c r="E673" s="60">
        <f aca="true" t="shared" si="23" ref="E673:K673">E674+E675</f>
        <v>2</v>
      </c>
      <c r="F673" s="60">
        <f t="shared" si="23"/>
        <v>0</v>
      </c>
      <c r="G673" s="60">
        <f t="shared" si="23"/>
        <v>0</v>
      </c>
      <c r="H673" s="60">
        <f t="shared" si="23"/>
        <v>0</v>
      </c>
      <c r="I673" s="60">
        <f t="shared" si="23"/>
        <v>0</v>
      </c>
      <c r="J673" s="60">
        <f t="shared" si="23"/>
        <v>0</v>
      </c>
      <c r="K673" s="60">
        <f t="shared" si="23"/>
        <v>0</v>
      </c>
      <c r="L673" s="60"/>
      <c r="M673" s="60">
        <f>M674+M675</f>
        <v>0</v>
      </c>
      <c r="N673" s="60">
        <f>N674+N675</f>
        <v>1</v>
      </c>
      <c r="O673" s="60">
        <f>O674+O675</f>
        <v>0</v>
      </c>
      <c r="P673" s="60">
        <f>P674+P675</f>
        <v>1</v>
      </c>
      <c r="Q673" s="286"/>
      <c r="R673" s="287"/>
      <c r="S673" s="287"/>
      <c r="BA673" s="286"/>
      <c r="BB673" s="287"/>
      <c r="BC673" s="287"/>
      <c r="BD673" s="287"/>
      <c r="BE673" s="287"/>
    </row>
    <row r="674" spans="1:57" s="288" customFormat="1" ht="15.75">
      <c r="A674" s="12"/>
      <c r="B674" s="105" t="s">
        <v>1085</v>
      </c>
      <c r="C674" s="15" t="s">
        <v>1086</v>
      </c>
      <c r="D674" s="40">
        <v>2</v>
      </c>
      <c r="E674" s="40">
        <v>1</v>
      </c>
      <c r="F674" s="40"/>
      <c r="G674" s="40"/>
      <c r="H674" s="40"/>
      <c r="I674" s="40"/>
      <c r="J674" s="40"/>
      <c r="K674" s="40"/>
      <c r="L674" s="60"/>
      <c r="M674" s="60"/>
      <c r="N674" s="60"/>
      <c r="O674" s="60"/>
      <c r="P674" s="60">
        <v>1</v>
      </c>
      <c r="Q674" s="286"/>
      <c r="R674" s="287"/>
      <c r="S674" s="287"/>
      <c r="BA674" s="286"/>
      <c r="BB674" s="287"/>
      <c r="BC674" s="287"/>
      <c r="BD674" s="287"/>
      <c r="BE674" s="287"/>
    </row>
    <row r="675" spans="1:57" s="288" customFormat="1" ht="19.5" customHeight="1">
      <c r="A675" s="12"/>
      <c r="B675" s="105" t="s">
        <v>97</v>
      </c>
      <c r="C675" s="15" t="s">
        <v>565</v>
      </c>
      <c r="D675" s="40">
        <v>2</v>
      </c>
      <c r="E675" s="40">
        <v>1</v>
      </c>
      <c r="F675" s="40"/>
      <c r="G675" s="40"/>
      <c r="H675" s="40"/>
      <c r="I675" s="40"/>
      <c r="J675" s="40"/>
      <c r="K675" s="40"/>
      <c r="L675" s="60"/>
      <c r="M675" s="60"/>
      <c r="N675" s="60">
        <v>1</v>
      </c>
      <c r="O675" s="60"/>
      <c r="P675" s="60"/>
      <c r="Q675" s="286"/>
      <c r="R675" s="287"/>
      <c r="S675" s="287"/>
      <c r="BA675" s="286"/>
      <c r="BB675" s="287"/>
      <c r="BC675" s="287"/>
      <c r="BD675" s="287"/>
      <c r="BE675" s="287"/>
    </row>
    <row r="676" spans="1:57" s="288" customFormat="1" ht="15.75">
      <c r="A676" s="12"/>
      <c r="B676" s="104" t="s">
        <v>670</v>
      </c>
      <c r="C676" s="15"/>
      <c r="D676" s="60">
        <f>D677+D678+D679+D680</f>
        <v>24</v>
      </c>
      <c r="E676" s="60">
        <f>E677+E678+E679+E680</f>
        <v>6</v>
      </c>
      <c r="F676" s="40"/>
      <c r="G676" s="40"/>
      <c r="H676" s="40"/>
      <c r="I676" s="40"/>
      <c r="J676" s="40"/>
      <c r="K676" s="40"/>
      <c r="L676" s="60"/>
      <c r="M676" s="60">
        <f>M677+M678+M679+M680</f>
        <v>3</v>
      </c>
      <c r="N676" s="60">
        <f>N677+N678+N679+N680</f>
        <v>3</v>
      </c>
      <c r="O676" s="60">
        <f>O677+O678+O679+O680</f>
        <v>1</v>
      </c>
      <c r="P676" s="60">
        <f>P677+P678+P679+P680</f>
        <v>1</v>
      </c>
      <c r="Q676" s="286"/>
      <c r="R676" s="287"/>
      <c r="S676" s="287"/>
      <c r="BA676" s="286"/>
      <c r="BB676" s="287"/>
      <c r="BC676" s="287"/>
      <c r="BD676" s="287"/>
      <c r="BE676" s="287"/>
    </row>
    <row r="677" spans="1:57" s="288" customFormat="1" ht="15.75">
      <c r="A677" s="12"/>
      <c r="B677" s="105" t="s">
        <v>98</v>
      </c>
      <c r="C677" s="15" t="s">
        <v>1087</v>
      </c>
      <c r="D677" s="40">
        <v>1</v>
      </c>
      <c r="E677" s="40"/>
      <c r="F677" s="40"/>
      <c r="G677" s="40"/>
      <c r="H677" s="40"/>
      <c r="I677" s="40"/>
      <c r="J677" s="40"/>
      <c r="K677" s="40"/>
      <c r="L677" s="60"/>
      <c r="M677" s="60">
        <v>1</v>
      </c>
      <c r="N677" s="60"/>
      <c r="O677" s="60"/>
      <c r="P677" s="60"/>
      <c r="Q677" s="286"/>
      <c r="R677" s="287"/>
      <c r="S677" s="287"/>
      <c r="BA677" s="286"/>
      <c r="BB677" s="287"/>
      <c r="BC677" s="287"/>
      <c r="BD677" s="287"/>
      <c r="BE677" s="287"/>
    </row>
    <row r="678" spans="1:57" s="288" customFormat="1" ht="15.75">
      <c r="A678" s="12"/>
      <c r="B678" s="105" t="s">
        <v>1088</v>
      </c>
      <c r="C678" s="15" t="s">
        <v>1086</v>
      </c>
      <c r="D678" s="40">
        <v>2</v>
      </c>
      <c r="E678" s="40">
        <v>1</v>
      </c>
      <c r="F678" s="40"/>
      <c r="G678" s="40"/>
      <c r="H678" s="40"/>
      <c r="I678" s="40"/>
      <c r="J678" s="40"/>
      <c r="K678" s="40"/>
      <c r="L678" s="60"/>
      <c r="M678" s="60"/>
      <c r="N678" s="60">
        <v>1</v>
      </c>
      <c r="O678" s="60"/>
      <c r="P678" s="60"/>
      <c r="Q678" s="286"/>
      <c r="R678" s="287"/>
      <c r="S678" s="287"/>
      <c r="BA678" s="286"/>
      <c r="BB678" s="287"/>
      <c r="BC678" s="287"/>
      <c r="BD678" s="287"/>
      <c r="BE678" s="287"/>
    </row>
    <row r="679" spans="1:19" s="288" customFormat="1" ht="16.5" customHeight="1">
      <c r="A679" s="12"/>
      <c r="B679" s="105" t="s">
        <v>99</v>
      </c>
      <c r="C679" s="15" t="s">
        <v>565</v>
      </c>
      <c r="D679" s="40">
        <v>3</v>
      </c>
      <c r="E679" s="40"/>
      <c r="F679" s="40"/>
      <c r="G679" s="40"/>
      <c r="H679" s="40"/>
      <c r="I679" s="40"/>
      <c r="J679" s="40"/>
      <c r="K679" s="40"/>
      <c r="L679" s="60"/>
      <c r="M679" s="60">
        <v>1</v>
      </c>
      <c r="N679" s="60">
        <v>1</v>
      </c>
      <c r="O679" s="60"/>
      <c r="P679" s="60"/>
      <c r="Q679" s="286"/>
      <c r="R679" s="286"/>
      <c r="S679" s="286"/>
    </row>
    <row r="680" spans="1:19" s="288" customFormat="1" ht="15.75">
      <c r="A680" s="12"/>
      <c r="B680" s="105" t="s">
        <v>100</v>
      </c>
      <c r="C680" s="15" t="s">
        <v>1327</v>
      </c>
      <c r="D680" s="40">
        <v>18</v>
      </c>
      <c r="E680" s="40">
        <v>5</v>
      </c>
      <c r="F680" s="40"/>
      <c r="G680" s="40"/>
      <c r="H680" s="40"/>
      <c r="I680" s="40"/>
      <c r="J680" s="40"/>
      <c r="K680" s="40"/>
      <c r="L680" s="60"/>
      <c r="M680" s="60">
        <v>1</v>
      </c>
      <c r="N680" s="60">
        <v>1</v>
      </c>
      <c r="O680" s="60">
        <v>1</v>
      </c>
      <c r="P680" s="60">
        <v>1</v>
      </c>
      <c r="Q680" s="286"/>
      <c r="R680" s="286"/>
      <c r="S680" s="286"/>
    </row>
    <row r="681" spans="1:19" s="280" customFormat="1" ht="18" customHeight="1">
      <c r="A681" s="50"/>
      <c r="B681" s="93" t="s">
        <v>37</v>
      </c>
      <c r="C681" s="94"/>
      <c r="D681" s="60">
        <f>D682</f>
        <v>3</v>
      </c>
      <c r="E681" s="60">
        <f aca="true" t="shared" si="24" ref="E681:S681">E682</f>
        <v>2</v>
      </c>
      <c r="F681" s="60">
        <f t="shared" si="24"/>
        <v>0</v>
      </c>
      <c r="G681" s="60">
        <f t="shared" si="24"/>
        <v>0</v>
      </c>
      <c r="H681" s="60">
        <f t="shared" si="24"/>
        <v>0</v>
      </c>
      <c r="I681" s="60">
        <f t="shared" si="24"/>
        <v>0</v>
      </c>
      <c r="J681" s="60">
        <f t="shared" si="24"/>
        <v>0</v>
      </c>
      <c r="K681" s="60">
        <f t="shared" si="24"/>
        <v>0</v>
      </c>
      <c r="L681" s="60"/>
      <c r="M681" s="60">
        <f t="shared" si="24"/>
        <v>1</v>
      </c>
      <c r="N681" s="60">
        <f t="shared" si="24"/>
        <v>1</v>
      </c>
      <c r="O681" s="60"/>
      <c r="P681" s="60"/>
      <c r="Q681" s="277">
        <f t="shared" si="24"/>
        <v>0</v>
      </c>
      <c r="R681" s="277">
        <f t="shared" si="24"/>
        <v>0</v>
      </c>
      <c r="S681" s="277">
        <f t="shared" si="24"/>
        <v>0</v>
      </c>
    </row>
    <row r="682" spans="1:19" s="288" customFormat="1" ht="15.75">
      <c r="A682" s="12"/>
      <c r="B682" s="105" t="s">
        <v>101</v>
      </c>
      <c r="C682" s="15" t="s">
        <v>1089</v>
      </c>
      <c r="D682" s="387">
        <v>3</v>
      </c>
      <c r="E682" s="387">
        <v>2</v>
      </c>
      <c r="F682" s="40"/>
      <c r="G682" s="40"/>
      <c r="H682" s="40"/>
      <c r="I682" s="40"/>
      <c r="J682" s="40"/>
      <c r="K682" s="40"/>
      <c r="L682" s="60"/>
      <c r="M682" s="60">
        <v>1</v>
      </c>
      <c r="N682" s="60">
        <v>1</v>
      </c>
      <c r="O682" s="60"/>
      <c r="P682" s="60"/>
      <c r="Q682" s="286"/>
      <c r="R682" s="286"/>
      <c r="S682" s="286"/>
    </row>
    <row r="683" spans="1:19" s="288" customFormat="1" ht="15.75">
      <c r="A683" s="12"/>
      <c r="B683" s="343" t="s">
        <v>858</v>
      </c>
      <c r="C683" s="395"/>
      <c r="D683" s="396">
        <v>53</v>
      </c>
      <c r="E683" s="396">
        <v>6</v>
      </c>
      <c r="F683" s="73"/>
      <c r="G683" s="40"/>
      <c r="H683" s="40"/>
      <c r="I683" s="40"/>
      <c r="J683" s="40"/>
      <c r="K683" s="40"/>
      <c r="L683" s="60"/>
      <c r="M683" s="44">
        <v>2</v>
      </c>
      <c r="N683" s="44">
        <v>2</v>
      </c>
      <c r="O683" s="44">
        <v>2</v>
      </c>
      <c r="P683" s="60"/>
      <c r="Q683" s="286"/>
      <c r="R683" s="286"/>
      <c r="S683" s="286"/>
    </row>
    <row r="684" spans="1:57" s="288" customFormat="1" ht="15.75">
      <c r="A684" s="12"/>
      <c r="B684" s="397" t="s">
        <v>669</v>
      </c>
      <c r="C684" s="353"/>
      <c r="D684" s="348">
        <f aca="true" t="shared" si="25" ref="D684:K684">D685+D686</f>
        <v>29</v>
      </c>
      <c r="E684" s="348">
        <f t="shared" si="25"/>
        <v>6</v>
      </c>
      <c r="F684" s="348">
        <f t="shared" si="25"/>
        <v>0</v>
      </c>
      <c r="G684" s="348">
        <f t="shared" si="25"/>
        <v>0</v>
      </c>
      <c r="H684" s="348">
        <f t="shared" si="25"/>
        <v>0</v>
      </c>
      <c r="I684" s="348">
        <f t="shared" si="25"/>
        <v>0</v>
      </c>
      <c r="J684" s="348">
        <f t="shared" si="25"/>
        <v>0</v>
      </c>
      <c r="K684" s="348">
        <f t="shared" si="25"/>
        <v>0</v>
      </c>
      <c r="L684" s="348"/>
      <c r="M684" s="348">
        <f>M685+M686</f>
        <v>2</v>
      </c>
      <c r="N684" s="348">
        <f>N685+N686</f>
        <v>2</v>
      </c>
      <c r="O684" s="348">
        <f>O685+O686</f>
        <v>2</v>
      </c>
      <c r="P684" s="348"/>
      <c r="Q684" s="286"/>
      <c r="R684" s="287"/>
      <c r="S684" s="287"/>
      <c r="BA684" s="286"/>
      <c r="BB684" s="287"/>
      <c r="BC684" s="287"/>
      <c r="BD684" s="287"/>
      <c r="BE684" s="287"/>
    </row>
    <row r="685" spans="1:19" s="288" customFormat="1" ht="15.75">
      <c r="A685" s="369"/>
      <c r="B685" s="97" t="s">
        <v>1090</v>
      </c>
      <c r="C685" s="12">
        <v>18503</v>
      </c>
      <c r="D685" s="341">
        <v>18</v>
      </c>
      <c r="E685" s="341">
        <v>3</v>
      </c>
      <c r="F685" s="73"/>
      <c r="G685" s="40"/>
      <c r="H685" s="40"/>
      <c r="I685" s="40"/>
      <c r="J685" s="40"/>
      <c r="K685" s="40"/>
      <c r="L685" s="354"/>
      <c r="M685" s="341">
        <v>1</v>
      </c>
      <c r="N685" s="341">
        <v>1</v>
      </c>
      <c r="O685" s="341">
        <v>1</v>
      </c>
      <c r="P685" s="341" t="s">
        <v>998</v>
      </c>
      <c r="Q685" s="286"/>
      <c r="R685" s="286"/>
      <c r="S685" s="286"/>
    </row>
    <row r="686" spans="1:19" s="288" customFormat="1" ht="15.75">
      <c r="A686" s="369"/>
      <c r="B686" s="97" t="s">
        <v>1091</v>
      </c>
      <c r="C686" s="12">
        <v>18503</v>
      </c>
      <c r="D686" s="341">
        <v>11</v>
      </c>
      <c r="E686" s="341">
        <v>3</v>
      </c>
      <c r="F686" s="73"/>
      <c r="G686" s="40"/>
      <c r="H686" s="40"/>
      <c r="I686" s="40"/>
      <c r="J686" s="40"/>
      <c r="K686" s="40"/>
      <c r="L686" s="354"/>
      <c r="M686" s="341">
        <v>1</v>
      </c>
      <c r="N686" s="341">
        <v>1</v>
      </c>
      <c r="O686" s="341">
        <v>1</v>
      </c>
      <c r="P686" s="341" t="s">
        <v>998</v>
      </c>
      <c r="Q686" s="286"/>
      <c r="R686" s="286"/>
      <c r="S686" s="286"/>
    </row>
    <row r="687" spans="1:188" s="57" customFormat="1" ht="19.5" customHeight="1">
      <c r="A687" s="13">
        <v>6</v>
      </c>
      <c r="B687" s="242" t="s">
        <v>194</v>
      </c>
      <c r="C687" s="243"/>
      <c r="D687" s="244">
        <v>1765</v>
      </c>
      <c r="E687" s="244">
        <v>450</v>
      </c>
      <c r="F687" s="44">
        <v>1890</v>
      </c>
      <c r="G687" s="44">
        <v>1890</v>
      </c>
      <c r="H687" s="44">
        <v>1890</v>
      </c>
      <c r="I687" s="44">
        <v>1890</v>
      </c>
      <c r="J687" s="44"/>
      <c r="K687" s="44">
        <v>1895</v>
      </c>
      <c r="L687" s="44">
        <f>L688</f>
        <v>51</v>
      </c>
      <c r="M687" s="244">
        <f>M688</f>
        <v>31</v>
      </c>
      <c r="N687" s="244">
        <f>N688</f>
        <v>31</v>
      </c>
      <c r="O687" s="244">
        <f>O688</f>
        <v>31</v>
      </c>
      <c r="P687" s="244">
        <f>P688</f>
        <v>31</v>
      </c>
      <c r="Q687" s="54" t="s">
        <v>648</v>
      </c>
      <c r="R687" s="54">
        <v>1</v>
      </c>
      <c r="S687" s="55" t="s">
        <v>924</v>
      </c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  <c r="AQ687" s="56"/>
      <c r="AR687" s="56"/>
      <c r="AS687" s="56"/>
      <c r="AT687" s="56"/>
      <c r="AU687" s="56"/>
      <c r="AV687" s="56"/>
      <c r="AW687" s="56"/>
      <c r="AX687" s="56"/>
      <c r="AY687" s="56"/>
      <c r="AZ687" s="56"/>
      <c r="BA687" s="56"/>
      <c r="BB687" s="56"/>
      <c r="BC687" s="56"/>
      <c r="BD687" s="56"/>
      <c r="BE687" s="56"/>
      <c r="BF687" s="56"/>
      <c r="BG687" s="56"/>
      <c r="BH687" s="56"/>
      <c r="BI687" s="56"/>
      <c r="BJ687" s="56"/>
      <c r="BK687" s="56"/>
      <c r="BL687" s="56"/>
      <c r="BM687" s="56"/>
      <c r="BN687" s="56"/>
      <c r="BO687" s="56"/>
      <c r="BP687" s="56"/>
      <c r="BQ687" s="56"/>
      <c r="BR687" s="56"/>
      <c r="BS687" s="56"/>
      <c r="BT687" s="56"/>
      <c r="BU687" s="56"/>
      <c r="BV687" s="56"/>
      <c r="BW687" s="56"/>
      <c r="BX687" s="56"/>
      <c r="BY687" s="56"/>
      <c r="BZ687" s="56"/>
      <c r="CA687" s="56"/>
      <c r="CB687" s="56"/>
      <c r="CC687" s="56"/>
      <c r="CD687" s="56"/>
      <c r="CE687" s="56"/>
      <c r="CF687" s="56"/>
      <c r="CG687" s="56"/>
      <c r="CH687" s="56"/>
      <c r="CI687" s="56"/>
      <c r="CJ687" s="56"/>
      <c r="CK687" s="56"/>
      <c r="CL687" s="56"/>
      <c r="CM687" s="56"/>
      <c r="CN687" s="56"/>
      <c r="CO687" s="56"/>
      <c r="CP687" s="56"/>
      <c r="CQ687" s="56"/>
      <c r="CR687" s="56"/>
      <c r="CS687" s="56"/>
      <c r="CT687" s="56"/>
      <c r="CU687" s="56"/>
      <c r="CV687" s="56"/>
      <c r="CW687" s="56"/>
      <c r="CX687" s="56"/>
      <c r="CY687" s="56"/>
      <c r="CZ687" s="56"/>
      <c r="DA687" s="56"/>
      <c r="DB687" s="56"/>
      <c r="DC687" s="56"/>
      <c r="DD687" s="56"/>
      <c r="DE687" s="56"/>
      <c r="DF687" s="56"/>
      <c r="DG687" s="56"/>
      <c r="DH687" s="56"/>
      <c r="DI687" s="56"/>
      <c r="DJ687" s="56"/>
      <c r="DK687" s="56"/>
      <c r="DL687" s="56"/>
      <c r="DM687" s="56"/>
      <c r="DN687" s="56"/>
      <c r="DO687" s="56"/>
      <c r="DP687" s="56"/>
      <c r="DQ687" s="56"/>
      <c r="DR687" s="56"/>
      <c r="DS687" s="56"/>
      <c r="DT687" s="56"/>
      <c r="DU687" s="56"/>
      <c r="DV687" s="56"/>
      <c r="DW687" s="56"/>
      <c r="DX687" s="56"/>
      <c r="DY687" s="56"/>
      <c r="DZ687" s="56"/>
      <c r="EA687" s="56"/>
      <c r="EB687" s="56"/>
      <c r="EC687" s="56"/>
      <c r="ED687" s="56"/>
      <c r="EE687" s="56"/>
      <c r="EF687" s="56"/>
      <c r="EG687" s="56"/>
      <c r="EH687" s="56"/>
      <c r="EI687" s="56"/>
      <c r="EJ687" s="56"/>
      <c r="EK687" s="56"/>
      <c r="EL687" s="56"/>
      <c r="EM687" s="56"/>
      <c r="EN687" s="56"/>
      <c r="EO687" s="56"/>
      <c r="EP687" s="56"/>
      <c r="EQ687" s="56"/>
      <c r="ER687" s="56"/>
      <c r="ES687" s="56"/>
      <c r="ET687" s="56"/>
      <c r="EU687" s="56"/>
      <c r="EV687" s="56"/>
      <c r="EW687" s="56"/>
      <c r="EX687" s="56"/>
      <c r="EY687" s="56"/>
      <c r="EZ687" s="56"/>
      <c r="FA687" s="56"/>
      <c r="FB687" s="56"/>
      <c r="FC687" s="56"/>
      <c r="FD687" s="56"/>
      <c r="FE687" s="56"/>
      <c r="FF687" s="56"/>
      <c r="FG687" s="56"/>
      <c r="FH687" s="56"/>
      <c r="FI687" s="56"/>
      <c r="FJ687" s="56"/>
      <c r="FK687" s="56"/>
      <c r="FL687" s="56"/>
      <c r="FM687" s="56"/>
      <c r="FN687" s="56"/>
      <c r="FO687" s="56"/>
      <c r="FP687" s="56"/>
      <c r="FQ687" s="56"/>
      <c r="FR687" s="56"/>
      <c r="FS687" s="56"/>
      <c r="FT687" s="56"/>
      <c r="FU687" s="56"/>
      <c r="FV687" s="56"/>
      <c r="FW687" s="56"/>
      <c r="FX687" s="56"/>
      <c r="FY687" s="56"/>
      <c r="FZ687" s="56"/>
      <c r="GA687" s="56"/>
      <c r="GB687" s="56"/>
      <c r="GC687" s="56"/>
      <c r="GD687" s="56"/>
      <c r="GE687" s="56"/>
      <c r="GF687" s="56"/>
    </row>
    <row r="688" spans="1:57" s="43" customFormat="1" ht="15.75">
      <c r="A688" s="12"/>
      <c r="B688" s="104" t="s">
        <v>669</v>
      </c>
      <c r="C688" s="15"/>
      <c r="D688" s="40"/>
      <c r="E688" s="40"/>
      <c r="F688" s="40"/>
      <c r="G688" s="40"/>
      <c r="H688" s="40"/>
      <c r="I688" s="40"/>
      <c r="J688" s="40"/>
      <c r="K688" s="40"/>
      <c r="L688" s="60">
        <f>SUM(L689:L697)</f>
        <v>51</v>
      </c>
      <c r="M688" s="60">
        <f>SUM(M689:M697)</f>
        <v>31</v>
      </c>
      <c r="N688" s="60">
        <f>SUM(N689:N697)</f>
        <v>31</v>
      </c>
      <c r="O688" s="60">
        <f>SUM(O689:O697)</f>
        <v>31</v>
      </c>
      <c r="P688" s="60">
        <f>SUM(P689:P697)</f>
        <v>31</v>
      </c>
      <c r="Q688" s="70"/>
      <c r="R688" s="41"/>
      <c r="S688" s="41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BA688" s="49"/>
      <c r="BB688" s="42"/>
      <c r="BC688" s="42"/>
      <c r="BD688" s="42"/>
      <c r="BE688" s="42"/>
    </row>
    <row r="689" spans="1:57" s="43" customFormat="1" ht="15.75" customHeight="1">
      <c r="A689" s="12"/>
      <c r="B689" s="105" t="s">
        <v>448</v>
      </c>
      <c r="C689" s="15" t="s">
        <v>449</v>
      </c>
      <c r="D689" s="40"/>
      <c r="E689" s="40"/>
      <c r="F689" s="40">
        <v>95</v>
      </c>
      <c r="G689" s="40">
        <v>95</v>
      </c>
      <c r="H689" s="40">
        <v>95</v>
      </c>
      <c r="I689" s="40">
        <v>95</v>
      </c>
      <c r="J689" s="40"/>
      <c r="K689" s="40">
        <v>95</v>
      </c>
      <c r="L689" s="40">
        <v>4</v>
      </c>
      <c r="M689" s="40">
        <v>4</v>
      </c>
      <c r="N689" s="40">
        <v>4</v>
      </c>
      <c r="O689" s="40">
        <v>4</v>
      </c>
      <c r="P689" s="40">
        <v>4</v>
      </c>
      <c r="Q689" s="70"/>
      <c r="R689" s="41"/>
      <c r="S689" s="41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46"/>
      <c r="AV689" s="46"/>
      <c r="BA689" s="49"/>
      <c r="BB689" s="42"/>
      <c r="BC689" s="42"/>
      <c r="BD689" s="42"/>
      <c r="BE689" s="42"/>
    </row>
    <row r="690" spans="1:57" s="43" customFormat="1" ht="15" customHeight="1">
      <c r="A690" s="12"/>
      <c r="B690" s="105" t="s">
        <v>1306</v>
      </c>
      <c r="C690" s="15" t="s">
        <v>1307</v>
      </c>
      <c r="D690" s="40"/>
      <c r="E690" s="40"/>
      <c r="F690" s="40">
        <v>6</v>
      </c>
      <c r="G690" s="40">
        <v>6</v>
      </c>
      <c r="H690" s="40">
        <v>6</v>
      </c>
      <c r="I690" s="40">
        <v>6</v>
      </c>
      <c r="J690" s="40"/>
      <c r="K690" s="40">
        <v>6</v>
      </c>
      <c r="L690" s="40">
        <v>1</v>
      </c>
      <c r="M690" s="40">
        <v>1</v>
      </c>
      <c r="N690" s="40">
        <v>1</v>
      </c>
      <c r="O690" s="40">
        <v>1</v>
      </c>
      <c r="P690" s="40">
        <v>1</v>
      </c>
      <c r="Q690" s="70"/>
      <c r="R690" s="41"/>
      <c r="S690" s="41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BA690" s="49"/>
      <c r="BB690" s="42"/>
      <c r="BC690" s="42"/>
      <c r="BD690" s="42"/>
      <c r="BE690" s="42"/>
    </row>
    <row r="691" spans="1:57" s="43" customFormat="1" ht="15.75">
      <c r="A691" s="12"/>
      <c r="B691" s="105" t="s">
        <v>1303</v>
      </c>
      <c r="C691" s="15">
        <v>15050334</v>
      </c>
      <c r="D691" s="40"/>
      <c r="E691" s="40"/>
      <c r="F691" s="40">
        <v>16</v>
      </c>
      <c r="G691" s="40">
        <v>16</v>
      </c>
      <c r="H691" s="40">
        <v>16</v>
      </c>
      <c r="I691" s="40">
        <v>16</v>
      </c>
      <c r="J691" s="40"/>
      <c r="K691" s="40">
        <v>16</v>
      </c>
      <c r="L691" s="40">
        <v>1</v>
      </c>
      <c r="M691" s="40">
        <v>1</v>
      </c>
      <c r="N691" s="40">
        <v>1</v>
      </c>
      <c r="O691" s="40">
        <v>1</v>
      </c>
      <c r="P691" s="40">
        <v>1</v>
      </c>
      <c r="Q691" s="70"/>
      <c r="R691" s="41"/>
      <c r="S691" s="41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BA691" s="49"/>
      <c r="BB691" s="42"/>
      <c r="BC691" s="42"/>
      <c r="BD691" s="42"/>
      <c r="BE691" s="42"/>
    </row>
    <row r="692" spans="1:57" s="43" customFormat="1" ht="16.5" customHeight="1">
      <c r="A692" s="12"/>
      <c r="B692" s="105" t="s">
        <v>1316</v>
      </c>
      <c r="C692" s="15" t="s">
        <v>1317</v>
      </c>
      <c r="D692" s="40"/>
      <c r="E692" s="40"/>
      <c r="F692" s="40">
        <v>49</v>
      </c>
      <c r="G692" s="40">
        <v>49</v>
      </c>
      <c r="H692" s="40">
        <v>49</v>
      </c>
      <c r="I692" s="40">
        <v>49</v>
      </c>
      <c r="J692" s="40"/>
      <c r="K692" s="40">
        <v>49</v>
      </c>
      <c r="L692" s="40">
        <v>1</v>
      </c>
      <c r="M692" s="40">
        <v>1</v>
      </c>
      <c r="N692" s="40">
        <v>1</v>
      </c>
      <c r="O692" s="40">
        <v>1</v>
      </c>
      <c r="P692" s="40">
        <v>1</v>
      </c>
      <c r="Q692" s="70"/>
      <c r="R692" s="41"/>
      <c r="S692" s="41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BA692" s="49"/>
      <c r="BB692" s="42"/>
      <c r="BC692" s="42"/>
      <c r="BD692" s="42"/>
      <c r="BE692" s="42"/>
    </row>
    <row r="693" spans="1:57" s="43" customFormat="1" ht="16.5" customHeight="1">
      <c r="A693" s="12"/>
      <c r="B693" s="105" t="s">
        <v>1320</v>
      </c>
      <c r="C693" s="15" t="s">
        <v>1322</v>
      </c>
      <c r="D693" s="40"/>
      <c r="E693" s="40"/>
      <c r="F693" s="40">
        <v>8</v>
      </c>
      <c r="G693" s="40">
        <v>9</v>
      </c>
      <c r="H693" s="40">
        <v>9</v>
      </c>
      <c r="I693" s="40">
        <v>9</v>
      </c>
      <c r="J693" s="40"/>
      <c r="K693" s="40">
        <v>9</v>
      </c>
      <c r="L693" s="40">
        <v>1</v>
      </c>
      <c r="M693" s="40">
        <v>1</v>
      </c>
      <c r="N693" s="40">
        <v>1</v>
      </c>
      <c r="O693" s="40">
        <v>1</v>
      </c>
      <c r="P693" s="40">
        <v>1</v>
      </c>
      <c r="Q693" s="70"/>
      <c r="R693" s="41"/>
      <c r="S693" s="41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/>
      <c r="BA693" s="49"/>
      <c r="BB693" s="42"/>
      <c r="BC693" s="42"/>
      <c r="BD693" s="42"/>
      <c r="BE693" s="42"/>
    </row>
    <row r="694" spans="1:57" s="43" customFormat="1" ht="15.75">
      <c r="A694" s="12"/>
      <c r="B694" s="105" t="s">
        <v>564</v>
      </c>
      <c r="C694" s="15" t="s">
        <v>565</v>
      </c>
      <c r="D694" s="40"/>
      <c r="E694" s="40"/>
      <c r="F694" s="40">
        <v>30</v>
      </c>
      <c r="G694" s="40">
        <v>30</v>
      </c>
      <c r="H694" s="40">
        <v>30</v>
      </c>
      <c r="I694" s="40">
        <v>30</v>
      </c>
      <c r="J694" s="40"/>
      <c r="K694" s="40">
        <v>30</v>
      </c>
      <c r="L694" s="40">
        <v>4</v>
      </c>
      <c r="M694" s="40">
        <v>4</v>
      </c>
      <c r="N694" s="40">
        <v>4</v>
      </c>
      <c r="O694" s="40">
        <v>4</v>
      </c>
      <c r="P694" s="40">
        <v>4</v>
      </c>
      <c r="Q694" s="70"/>
      <c r="R694" s="41"/>
      <c r="S694" s="41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BA694" s="49"/>
      <c r="BB694" s="42"/>
      <c r="BC694" s="42"/>
      <c r="BD694" s="42"/>
      <c r="BE694" s="42"/>
    </row>
    <row r="695" spans="1:57" s="43" customFormat="1" ht="15.75">
      <c r="A695" s="12"/>
      <c r="B695" s="97" t="s">
        <v>10</v>
      </c>
      <c r="C695" s="29" t="s">
        <v>28</v>
      </c>
      <c r="D695" s="40"/>
      <c r="E695" s="40"/>
      <c r="F695" s="40">
        <v>82</v>
      </c>
      <c r="G695" s="40">
        <v>82</v>
      </c>
      <c r="H695" s="40">
        <v>82</v>
      </c>
      <c r="I695" s="40">
        <v>82</v>
      </c>
      <c r="J695" s="40"/>
      <c r="K695" s="40">
        <v>82</v>
      </c>
      <c r="L695" s="40">
        <v>8</v>
      </c>
      <c r="M695" s="40">
        <v>8</v>
      </c>
      <c r="N695" s="40">
        <v>8</v>
      </c>
      <c r="O695" s="40">
        <v>8</v>
      </c>
      <c r="P695" s="40">
        <v>8</v>
      </c>
      <c r="Q695" s="70"/>
      <c r="R695" s="41"/>
      <c r="S695" s="41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BA695" s="49"/>
      <c r="BB695" s="42"/>
      <c r="BC695" s="42"/>
      <c r="BD695" s="42"/>
      <c r="BE695" s="42"/>
    </row>
    <row r="696" spans="1:57" s="43" customFormat="1" ht="15.75" customHeight="1">
      <c r="A696" s="12"/>
      <c r="B696" s="105" t="s">
        <v>788</v>
      </c>
      <c r="C696" s="15" t="s">
        <v>789</v>
      </c>
      <c r="D696" s="40"/>
      <c r="E696" s="40"/>
      <c r="F696" s="40">
        <v>6</v>
      </c>
      <c r="G696" s="40">
        <v>6</v>
      </c>
      <c r="H696" s="40">
        <v>6</v>
      </c>
      <c r="I696" s="40">
        <v>6</v>
      </c>
      <c r="J696" s="40"/>
      <c r="K696" s="40">
        <v>6</v>
      </c>
      <c r="L696" s="40">
        <v>1</v>
      </c>
      <c r="M696" s="40">
        <v>1</v>
      </c>
      <c r="N696" s="40">
        <v>1</v>
      </c>
      <c r="O696" s="40">
        <v>1</v>
      </c>
      <c r="P696" s="40">
        <v>1</v>
      </c>
      <c r="Q696" s="70"/>
      <c r="R696" s="41"/>
      <c r="S696" s="41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BA696" s="49"/>
      <c r="BB696" s="42"/>
      <c r="BC696" s="42"/>
      <c r="BD696" s="42"/>
      <c r="BE696" s="42"/>
    </row>
    <row r="697" spans="1:57" s="43" customFormat="1" ht="15.75">
      <c r="A697" s="12"/>
      <c r="B697" s="105" t="s">
        <v>560</v>
      </c>
      <c r="C697" s="15">
        <v>24010138</v>
      </c>
      <c r="D697" s="40"/>
      <c r="E697" s="40"/>
      <c r="F697" s="40">
        <v>125</v>
      </c>
      <c r="G697" s="40">
        <v>125</v>
      </c>
      <c r="H697" s="40">
        <v>125</v>
      </c>
      <c r="I697" s="40">
        <v>125</v>
      </c>
      <c r="J697" s="40"/>
      <c r="K697" s="40">
        <v>125</v>
      </c>
      <c r="L697" s="40">
        <v>30</v>
      </c>
      <c r="M697" s="40">
        <v>10</v>
      </c>
      <c r="N697" s="40">
        <v>10</v>
      </c>
      <c r="O697" s="40">
        <v>10</v>
      </c>
      <c r="P697" s="40">
        <v>10</v>
      </c>
      <c r="Q697" s="70"/>
      <c r="R697" s="41"/>
      <c r="S697" s="41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BA697" s="49"/>
      <c r="BB697" s="42"/>
      <c r="BC697" s="42"/>
      <c r="BD697" s="42"/>
      <c r="BE697" s="42"/>
    </row>
    <row r="698" spans="1:188" s="57" customFormat="1" ht="19.5" customHeight="1">
      <c r="A698" s="13">
        <v>7</v>
      </c>
      <c r="B698" s="92" t="s">
        <v>195</v>
      </c>
      <c r="C698" s="45"/>
      <c r="D698" s="44">
        <v>149</v>
      </c>
      <c r="E698" s="44">
        <v>45</v>
      </c>
      <c r="F698" s="44">
        <v>375</v>
      </c>
      <c r="G698" s="44">
        <v>130</v>
      </c>
      <c r="H698" s="44">
        <v>132</v>
      </c>
      <c r="I698" s="44">
        <v>135</v>
      </c>
      <c r="J698" s="44"/>
      <c r="K698" s="44">
        <v>138</v>
      </c>
      <c r="L698" s="44">
        <f>SUM(L699,L704,L706)</f>
        <v>10</v>
      </c>
      <c r="M698" s="44">
        <f>SUM(M699,M704,M706)</f>
        <v>1</v>
      </c>
      <c r="N698" s="44">
        <f>SUM(N699,N704,N706)</f>
        <v>6</v>
      </c>
      <c r="O698" s="44">
        <f>SUM(O699,O704,O706)</f>
        <v>4</v>
      </c>
      <c r="P698" s="44">
        <f>SUM(P699,P704,P706)</f>
        <v>3</v>
      </c>
      <c r="Q698" s="54" t="s">
        <v>648</v>
      </c>
      <c r="R698" s="54">
        <v>1</v>
      </c>
      <c r="S698" s="55" t="s">
        <v>1041</v>
      </c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  <c r="AQ698" s="56"/>
      <c r="AR698" s="56"/>
      <c r="AS698" s="56"/>
      <c r="AT698" s="56"/>
      <c r="AU698" s="56"/>
      <c r="AV698" s="56"/>
      <c r="AW698" s="56"/>
      <c r="AX698" s="56"/>
      <c r="AY698" s="56"/>
      <c r="AZ698" s="56"/>
      <c r="BA698" s="56"/>
      <c r="BB698" s="56"/>
      <c r="BC698" s="56"/>
      <c r="BD698" s="56"/>
      <c r="BE698" s="56"/>
      <c r="BF698" s="56"/>
      <c r="BG698" s="56"/>
      <c r="BH698" s="56"/>
      <c r="BI698" s="56"/>
      <c r="BJ698" s="56"/>
      <c r="BK698" s="56"/>
      <c r="BL698" s="56"/>
      <c r="BM698" s="56"/>
      <c r="BN698" s="56"/>
      <c r="BO698" s="56"/>
      <c r="BP698" s="56"/>
      <c r="BQ698" s="56"/>
      <c r="BR698" s="56"/>
      <c r="BS698" s="56"/>
      <c r="BT698" s="56"/>
      <c r="BU698" s="56"/>
      <c r="BV698" s="56"/>
      <c r="BW698" s="56"/>
      <c r="BX698" s="56"/>
      <c r="BY698" s="56"/>
      <c r="BZ698" s="56"/>
      <c r="CA698" s="56"/>
      <c r="CB698" s="56"/>
      <c r="CC698" s="56"/>
      <c r="CD698" s="56"/>
      <c r="CE698" s="56"/>
      <c r="CF698" s="56"/>
      <c r="CG698" s="56"/>
      <c r="CH698" s="56"/>
      <c r="CI698" s="56"/>
      <c r="CJ698" s="56"/>
      <c r="CK698" s="56"/>
      <c r="CL698" s="56"/>
      <c r="CM698" s="56"/>
      <c r="CN698" s="56"/>
      <c r="CO698" s="56"/>
      <c r="CP698" s="56"/>
      <c r="CQ698" s="56"/>
      <c r="CR698" s="56"/>
      <c r="CS698" s="56"/>
      <c r="CT698" s="56"/>
      <c r="CU698" s="56"/>
      <c r="CV698" s="56"/>
      <c r="CW698" s="56"/>
      <c r="CX698" s="56"/>
      <c r="CY698" s="56"/>
      <c r="CZ698" s="56"/>
      <c r="DA698" s="56"/>
      <c r="DB698" s="56"/>
      <c r="DC698" s="56"/>
      <c r="DD698" s="56"/>
      <c r="DE698" s="56"/>
      <c r="DF698" s="56"/>
      <c r="DG698" s="56"/>
      <c r="DH698" s="56"/>
      <c r="DI698" s="56"/>
      <c r="DJ698" s="56"/>
      <c r="DK698" s="56"/>
      <c r="DL698" s="56"/>
      <c r="DM698" s="56"/>
      <c r="DN698" s="56"/>
      <c r="DO698" s="56"/>
      <c r="DP698" s="56"/>
      <c r="DQ698" s="56"/>
      <c r="DR698" s="56"/>
      <c r="DS698" s="56"/>
      <c r="DT698" s="56"/>
      <c r="DU698" s="56"/>
      <c r="DV698" s="56"/>
      <c r="DW698" s="56"/>
      <c r="DX698" s="56"/>
      <c r="DY698" s="56"/>
      <c r="DZ698" s="56"/>
      <c r="EA698" s="56"/>
      <c r="EB698" s="56"/>
      <c r="EC698" s="56"/>
      <c r="ED698" s="56"/>
      <c r="EE698" s="56"/>
      <c r="EF698" s="56"/>
      <c r="EG698" s="56"/>
      <c r="EH698" s="56"/>
      <c r="EI698" s="56"/>
      <c r="EJ698" s="56"/>
      <c r="EK698" s="56"/>
      <c r="EL698" s="56"/>
      <c r="EM698" s="56"/>
      <c r="EN698" s="56"/>
      <c r="EO698" s="56"/>
      <c r="EP698" s="56"/>
      <c r="EQ698" s="56"/>
      <c r="ER698" s="56"/>
      <c r="ES698" s="56"/>
      <c r="ET698" s="56"/>
      <c r="EU698" s="56"/>
      <c r="EV698" s="56"/>
      <c r="EW698" s="56"/>
      <c r="EX698" s="56"/>
      <c r="EY698" s="56"/>
      <c r="EZ698" s="56"/>
      <c r="FA698" s="56"/>
      <c r="FB698" s="56"/>
      <c r="FC698" s="56"/>
      <c r="FD698" s="56"/>
      <c r="FE698" s="56"/>
      <c r="FF698" s="56"/>
      <c r="FG698" s="56"/>
      <c r="FH698" s="56"/>
      <c r="FI698" s="56"/>
      <c r="FJ698" s="56"/>
      <c r="FK698" s="56"/>
      <c r="FL698" s="56"/>
      <c r="FM698" s="56"/>
      <c r="FN698" s="56"/>
      <c r="FO698" s="56"/>
      <c r="FP698" s="56"/>
      <c r="FQ698" s="56"/>
      <c r="FR698" s="56"/>
      <c r="FS698" s="56"/>
      <c r="FT698" s="56"/>
      <c r="FU698" s="56"/>
      <c r="FV698" s="56"/>
      <c r="FW698" s="56"/>
      <c r="FX698" s="56"/>
      <c r="FY698" s="56"/>
      <c r="FZ698" s="56"/>
      <c r="GA698" s="56"/>
      <c r="GB698" s="56"/>
      <c r="GC698" s="56"/>
      <c r="GD698" s="56"/>
      <c r="GE698" s="56"/>
      <c r="GF698" s="56"/>
    </row>
    <row r="699" spans="1:57" s="43" customFormat="1" ht="15.75">
      <c r="A699" s="63"/>
      <c r="B699" s="104" t="s">
        <v>669</v>
      </c>
      <c r="C699" s="45"/>
      <c r="D699" s="44"/>
      <c r="E699" s="44"/>
      <c r="F699" s="44"/>
      <c r="G699" s="44"/>
      <c r="H699" s="44"/>
      <c r="I699" s="40"/>
      <c r="J699" s="40"/>
      <c r="K699" s="40"/>
      <c r="L699" s="60">
        <f>SUM(L700:L703)</f>
        <v>8</v>
      </c>
      <c r="M699" s="60">
        <f>SUM(M700:M703)</f>
        <v>0</v>
      </c>
      <c r="N699" s="60">
        <f>SUM(N700:N703)</f>
        <v>5</v>
      </c>
      <c r="O699" s="60">
        <f>SUM(O700:O703)</f>
        <v>3</v>
      </c>
      <c r="P699" s="60">
        <f>SUM(P700:P703)</f>
        <v>0</v>
      </c>
      <c r="Q699" s="70"/>
      <c r="R699" s="41"/>
      <c r="S699" s="41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BA699" s="49"/>
      <c r="BB699" s="42"/>
      <c r="BC699" s="42"/>
      <c r="BD699" s="42"/>
      <c r="BE699" s="42"/>
    </row>
    <row r="700" spans="1:48" s="43" customFormat="1" ht="15.75">
      <c r="A700" s="63"/>
      <c r="B700" s="105" t="s">
        <v>980</v>
      </c>
      <c r="C700" s="15" t="s">
        <v>981</v>
      </c>
      <c r="D700" s="40"/>
      <c r="E700" s="40"/>
      <c r="F700" s="40"/>
      <c r="G700" s="40"/>
      <c r="H700" s="40"/>
      <c r="I700" s="40"/>
      <c r="J700" s="40"/>
      <c r="K700" s="40"/>
      <c r="L700" s="40">
        <v>2</v>
      </c>
      <c r="M700" s="40" t="s">
        <v>556</v>
      </c>
      <c r="N700" s="40">
        <v>1</v>
      </c>
      <c r="O700" s="40">
        <v>1</v>
      </c>
      <c r="P700" s="40" t="s">
        <v>556</v>
      </c>
      <c r="Q700" s="70"/>
      <c r="R700" s="70"/>
      <c r="S700" s="70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</row>
    <row r="701" spans="1:48" s="43" customFormat="1" ht="15.75">
      <c r="A701" s="63"/>
      <c r="B701" s="105" t="s">
        <v>1329</v>
      </c>
      <c r="C701" s="66" t="s">
        <v>1330</v>
      </c>
      <c r="D701" s="40"/>
      <c r="E701" s="40"/>
      <c r="F701" s="40"/>
      <c r="G701" s="40"/>
      <c r="H701" s="40"/>
      <c r="I701" s="40"/>
      <c r="J701" s="40"/>
      <c r="K701" s="40"/>
      <c r="L701" s="40">
        <v>1</v>
      </c>
      <c r="M701" s="40" t="s">
        <v>556</v>
      </c>
      <c r="N701" s="40">
        <v>1</v>
      </c>
      <c r="O701" s="40" t="s">
        <v>556</v>
      </c>
      <c r="P701" s="40" t="s">
        <v>556</v>
      </c>
      <c r="Q701" s="70"/>
      <c r="R701" s="70"/>
      <c r="S701" s="70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</row>
    <row r="702" spans="1:48" s="43" customFormat="1" ht="15.75">
      <c r="A702" s="63"/>
      <c r="B702" s="97" t="s">
        <v>1320</v>
      </c>
      <c r="C702" s="29" t="s">
        <v>1322</v>
      </c>
      <c r="D702" s="40"/>
      <c r="E702" s="40"/>
      <c r="F702" s="40"/>
      <c r="G702" s="40"/>
      <c r="H702" s="40"/>
      <c r="I702" s="40"/>
      <c r="J702" s="40"/>
      <c r="K702" s="40"/>
      <c r="L702" s="40">
        <v>3</v>
      </c>
      <c r="M702" s="40" t="s">
        <v>556</v>
      </c>
      <c r="N702" s="40">
        <v>2</v>
      </c>
      <c r="O702" s="40">
        <v>1</v>
      </c>
      <c r="P702" s="40" t="s">
        <v>556</v>
      </c>
      <c r="Q702" s="70"/>
      <c r="R702" s="70"/>
      <c r="S702" s="70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</row>
    <row r="703" spans="1:48" s="43" customFormat="1" ht="15.75">
      <c r="A703" s="63"/>
      <c r="B703" s="105" t="s">
        <v>786</v>
      </c>
      <c r="C703" s="15" t="s">
        <v>1296</v>
      </c>
      <c r="D703" s="40"/>
      <c r="E703" s="40"/>
      <c r="F703" s="40"/>
      <c r="G703" s="40"/>
      <c r="H703" s="40"/>
      <c r="I703" s="40"/>
      <c r="J703" s="40"/>
      <c r="K703" s="40"/>
      <c r="L703" s="40">
        <v>2</v>
      </c>
      <c r="M703" s="40" t="s">
        <v>556</v>
      </c>
      <c r="N703" s="40">
        <v>1</v>
      </c>
      <c r="O703" s="40">
        <v>1</v>
      </c>
      <c r="P703" s="40" t="s">
        <v>556</v>
      </c>
      <c r="Q703" s="70"/>
      <c r="R703" s="70"/>
      <c r="S703" s="70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</row>
    <row r="704" spans="1:57" s="43" customFormat="1" ht="15.75">
      <c r="A704" s="12"/>
      <c r="B704" s="104" t="s">
        <v>670</v>
      </c>
      <c r="C704" s="15"/>
      <c r="D704" s="40"/>
      <c r="E704" s="40"/>
      <c r="F704" s="40"/>
      <c r="G704" s="40"/>
      <c r="H704" s="40"/>
      <c r="I704" s="40"/>
      <c r="J704" s="40"/>
      <c r="K704" s="40"/>
      <c r="L704" s="60" t="str">
        <f>L705</f>
        <v> -</v>
      </c>
      <c r="M704" s="60" t="str">
        <f>M705</f>
        <v> -</v>
      </c>
      <c r="N704" s="60" t="str">
        <f>N705</f>
        <v> -</v>
      </c>
      <c r="O704" s="60">
        <f>O705</f>
        <v>1</v>
      </c>
      <c r="P704" s="60" t="str">
        <f>P705</f>
        <v> -</v>
      </c>
      <c r="Q704" s="70"/>
      <c r="R704" s="41"/>
      <c r="S704" s="41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BA704" s="49"/>
      <c r="BB704" s="42"/>
      <c r="BC704" s="42"/>
      <c r="BD704" s="42"/>
      <c r="BE704" s="42"/>
    </row>
    <row r="705" spans="1:57" s="43" customFormat="1" ht="16.5" customHeight="1">
      <c r="A705" s="12"/>
      <c r="B705" s="97" t="s">
        <v>408</v>
      </c>
      <c r="C705" s="15">
        <v>15100151</v>
      </c>
      <c r="D705" s="40"/>
      <c r="E705" s="40"/>
      <c r="F705" s="40"/>
      <c r="G705" s="40"/>
      <c r="H705" s="40"/>
      <c r="I705" s="40"/>
      <c r="J705" s="40"/>
      <c r="K705" s="40"/>
      <c r="L705" s="40" t="s">
        <v>556</v>
      </c>
      <c r="M705" s="40" t="s">
        <v>556</v>
      </c>
      <c r="N705" s="40" t="s">
        <v>556</v>
      </c>
      <c r="O705" s="40">
        <v>1</v>
      </c>
      <c r="P705" s="40" t="s">
        <v>556</v>
      </c>
      <c r="Q705" s="70"/>
      <c r="R705" s="41"/>
      <c r="S705" s="41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BA705" s="49"/>
      <c r="BB705" s="42"/>
      <c r="BC705" s="42"/>
      <c r="BD705" s="42"/>
      <c r="BE705" s="42"/>
    </row>
    <row r="706" spans="1:48" s="18" customFormat="1" ht="18" customHeight="1">
      <c r="A706" s="50"/>
      <c r="B706" s="93" t="s">
        <v>37</v>
      </c>
      <c r="C706" s="16"/>
      <c r="D706" s="52"/>
      <c r="E706" s="51"/>
      <c r="F706" s="52"/>
      <c r="G706" s="52"/>
      <c r="H706" s="52"/>
      <c r="I706" s="52"/>
      <c r="J706" s="52"/>
      <c r="K706" s="52"/>
      <c r="L706" s="60">
        <f>SUM(L707:L709)</f>
        <v>2</v>
      </c>
      <c r="M706" s="60">
        <f>SUM(M707:M709)</f>
        <v>1</v>
      </c>
      <c r="N706" s="60">
        <f>SUM(N707:N709)</f>
        <v>1</v>
      </c>
      <c r="O706" s="60" t="s">
        <v>556</v>
      </c>
      <c r="P706" s="60">
        <f>SUM(P707:P709)</f>
        <v>3</v>
      </c>
      <c r="Q706" s="23"/>
      <c r="R706" s="23"/>
      <c r="S706" s="1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</row>
    <row r="707" spans="1:48" s="27" customFormat="1" ht="18.75" customHeight="1">
      <c r="A707" s="12"/>
      <c r="B707" s="97" t="s">
        <v>38</v>
      </c>
      <c r="C707" s="65" t="s">
        <v>457</v>
      </c>
      <c r="D707" s="51"/>
      <c r="E707" s="51"/>
      <c r="F707" s="51" t="s">
        <v>556</v>
      </c>
      <c r="G707" s="51">
        <v>5</v>
      </c>
      <c r="H707" s="51">
        <v>5</v>
      </c>
      <c r="I707" s="51">
        <v>5</v>
      </c>
      <c r="J707" s="51"/>
      <c r="K707" s="51">
        <v>5</v>
      </c>
      <c r="L707" s="40" t="s">
        <v>556</v>
      </c>
      <c r="M707" s="40" t="s">
        <v>556</v>
      </c>
      <c r="N707" s="40" t="s">
        <v>556</v>
      </c>
      <c r="O707" s="40" t="s">
        <v>556</v>
      </c>
      <c r="P707" s="40">
        <v>1</v>
      </c>
      <c r="Q707" s="30"/>
      <c r="R707" s="30"/>
      <c r="S707" s="30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</row>
    <row r="708" spans="1:48" s="27" customFormat="1" ht="29.25" customHeight="1">
      <c r="A708" s="12"/>
      <c r="B708" s="105" t="s">
        <v>611</v>
      </c>
      <c r="C708" s="15" t="s">
        <v>612</v>
      </c>
      <c r="D708" s="51"/>
      <c r="E708" s="51"/>
      <c r="F708" s="51" t="s">
        <v>556</v>
      </c>
      <c r="G708" s="51">
        <v>2</v>
      </c>
      <c r="H708" s="51">
        <v>2</v>
      </c>
      <c r="I708" s="51">
        <v>2</v>
      </c>
      <c r="J708" s="51"/>
      <c r="K708" s="51">
        <v>2</v>
      </c>
      <c r="L708" s="40">
        <v>1</v>
      </c>
      <c r="M708" s="40">
        <v>1</v>
      </c>
      <c r="N708" s="40">
        <v>1</v>
      </c>
      <c r="O708" s="40" t="s">
        <v>556</v>
      </c>
      <c r="P708" s="40">
        <v>1</v>
      </c>
      <c r="Q708" s="30"/>
      <c r="R708" s="30"/>
      <c r="S708" s="30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</row>
    <row r="709" spans="1:48" s="27" customFormat="1" ht="18.75" customHeight="1">
      <c r="A709" s="12"/>
      <c r="B709" s="97" t="s">
        <v>95</v>
      </c>
      <c r="C709" s="15" t="s">
        <v>96</v>
      </c>
      <c r="D709" s="51"/>
      <c r="E709" s="51"/>
      <c r="F709" s="51" t="s">
        <v>556</v>
      </c>
      <c r="G709" s="51">
        <v>1</v>
      </c>
      <c r="H709" s="51">
        <v>1</v>
      </c>
      <c r="I709" s="51">
        <v>1</v>
      </c>
      <c r="J709" s="51"/>
      <c r="K709" s="51">
        <v>1</v>
      </c>
      <c r="L709" s="40">
        <v>1</v>
      </c>
      <c r="M709" s="40" t="s">
        <v>556</v>
      </c>
      <c r="N709" s="40" t="s">
        <v>556</v>
      </c>
      <c r="O709" s="40" t="s">
        <v>556</v>
      </c>
      <c r="P709" s="40">
        <v>1</v>
      </c>
      <c r="Q709" s="30"/>
      <c r="R709" s="30"/>
      <c r="S709" s="30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</row>
    <row r="710" spans="1:188" s="57" customFormat="1" ht="19.5" customHeight="1">
      <c r="A710" s="13">
        <v>8</v>
      </c>
      <c r="B710" s="92" t="s">
        <v>328</v>
      </c>
      <c r="C710" s="45"/>
      <c r="D710" s="44">
        <v>165</v>
      </c>
      <c r="E710" s="44">
        <v>26</v>
      </c>
      <c r="F710" s="44">
        <v>375</v>
      </c>
      <c r="G710" s="44">
        <v>130</v>
      </c>
      <c r="H710" s="44">
        <v>132</v>
      </c>
      <c r="I710" s="44">
        <v>135</v>
      </c>
      <c r="J710" s="44"/>
      <c r="K710" s="44">
        <v>138</v>
      </c>
      <c r="L710" s="44">
        <f>SUM(L711,L721)</f>
        <v>3</v>
      </c>
      <c r="M710" s="44">
        <f>SUM(M711,M721)</f>
        <v>1</v>
      </c>
      <c r="N710" s="44">
        <f>SUM(N711,N721)</f>
        <v>2</v>
      </c>
      <c r="O710" s="44">
        <f>SUM(O711,O721)</f>
        <v>2</v>
      </c>
      <c r="P710" s="44">
        <f>SUM(P711,P721)</f>
        <v>7</v>
      </c>
      <c r="Q710" s="54" t="s">
        <v>648</v>
      </c>
      <c r="R710" s="54">
        <v>1</v>
      </c>
      <c r="S710" s="55" t="s">
        <v>1041</v>
      </c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  <c r="AQ710" s="56"/>
      <c r="AR710" s="56"/>
      <c r="AS710" s="56"/>
      <c r="AT710" s="56"/>
      <c r="AU710" s="56"/>
      <c r="AV710" s="56"/>
      <c r="AW710" s="56"/>
      <c r="AX710" s="56"/>
      <c r="AY710" s="56"/>
      <c r="AZ710" s="56"/>
      <c r="BA710" s="56"/>
      <c r="BB710" s="56"/>
      <c r="BC710" s="56"/>
      <c r="BD710" s="56"/>
      <c r="BE710" s="56"/>
      <c r="BF710" s="56"/>
      <c r="BG710" s="56"/>
      <c r="BH710" s="56"/>
      <c r="BI710" s="56"/>
      <c r="BJ710" s="56"/>
      <c r="BK710" s="56"/>
      <c r="BL710" s="56"/>
      <c r="BM710" s="56"/>
      <c r="BN710" s="56"/>
      <c r="BO710" s="56"/>
      <c r="BP710" s="56"/>
      <c r="BQ710" s="56"/>
      <c r="BR710" s="56"/>
      <c r="BS710" s="56"/>
      <c r="BT710" s="56"/>
      <c r="BU710" s="56"/>
      <c r="BV710" s="56"/>
      <c r="BW710" s="56"/>
      <c r="BX710" s="56"/>
      <c r="BY710" s="56"/>
      <c r="BZ710" s="56"/>
      <c r="CA710" s="56"/>
      <c r="CB710" s="56"/>
      <c r="CC710" s="56"/>
      <c r="CD710" s="56"/>
      <c r="CE710" s="56"/>
      <c r="CF710" s="56"/>
      <c r="CG710" s="56"/>
      <c r="CH710" s="56"/>
      <c r="CI710" s="56"/>
      <c r="CJ710" s="56"/>
      <c r="CK710" s="56"/>
      <c r="CL710" s="56"/>
      <c r="CM710" s="56"/>
      <c r="CN710" s="56"/>
      <c r="CO710" s="56"/>
      <c r="CP710" s="56"/>
      <c r="CQ710" s="56"/>
      <c r="CR710" s="56"/>
      <c r="CS710" s="56"/>
      <c r="CT710" s="56"/>
      <c r="CU710" s="56"/>
      <c r="CV710" s="56"/>
      <c r="CW710" s="56"/>
      <c r="CX710" s="56"/>
      <c r="CY710" s="56"/>
      <c r="CZ710" s="56"/>
      <c r="DA710" s="56"/>
      <c r="DB710" s="56"/>
      <c r="DC710" s="56"/>
      <c r="DD710" s="56"/>
      <c r="DE710" s="56"/>
      <c r="DF710" s="56"/>
      <c r="DG710" s="56"/>
      <c r="DH710" s="56"/>
      <c r="DI710" s="56"/>
      <c r="DJ710" s="56"/>
      <c r="DK710" s="56"/>
      <c r="DL710" s="56"/>
      <c r="DM710" s="56"/>
      <c r="DN710" s="56"/>
      <c r="DO710" s="56"/>
      <c r="DP710" s="56"/>
      <c r="DQ710" s="56"/>
      <c r="DR710" s="56"/>
      <c r="DS710" s="56"/>
      <c r="DT710" s="56"/>
      <c r="DU710" s="56"/>
      <c r="DV710" s="56"/>
      <c r="DW710" s="56"/>
      <c r="DX710" s="56"/>
      <c r="DY710" s="56"/>
      <c r="DZ710" s="56"/>
      <c r="EA710" s="56"/>
      <c r="EB710" s="56"/>
      <c r="EC710" s="56"/>
      <c r="ED710" s="56"/>
      <c r="EE710" s="56"/>
      <c r="EF710" s="56"/>
      <c r="EG710" s="56"/>
      <c r="EH710" s="56"/>
      <c r="EI710" s="56"/>
      <c r="EJ710" s="56"/>
      <c r="EK710" s="56"/>
      <c r="EL710" s="56"/>
      <c r="EM710" s="56"/>
      <c r="EN710" s="56"/>
      <c r="EO710" s="56"/>
      <c r="EP710" s="56"/>
      <c r="EQ710" s="56"/>
      <c r="ER710" s="56"/>
      <c r="ES710" s="56"/>
      <c r="ET710" s="56"/>
      <c r="EU710" s="56"/>
      <c r="EV710" s="56"/>
      <c r="EW710" s="56"/>
      <c r="EX710" s="56"/>
      <c r="EY710" s="56"/>
      <c r="EZ710" s="56"/>
      <c r="FA710" s="56"/>
      <c r="FB710" s="56"/>
      <c r="FC710" s="56"/>
      <c r="FD710" s="56"/>
      <c r="FE710" s="56"/>
      <c r="FF710" s="56"/>
      <c r="FG710" s="56"/>
      <c r="FH710" s="56"/>
      <c r="FI710" s="56"/>
      <c r="FJ710" s="56"/>
      <c r="FK710" s="56"/>
      <c r="FL710" s="56"/>
      <c r="FM710" s="56"/>
      <c r="FN710" s="56"/>
      <c r="FO710" s="56"/>
      <c r="FP710" s="56"/>
      <c r="FQ710" s="56"/>
      <c r="FR710" s="56"/>
      <c r="FS710" s="56"/>
      <c r="FT710" s="56"/>
      <c r="FU710" s="56"/>
      <c r="FV710" s="56"/>
      <c r="FW710" s="56"/>
      <c r="FX710" s="56"/>
      <c r="FY710" s="56"/>
      <c r="FZ710" s="56"/>
      <c r="GA710" s="56"/>
      <c r="GB710" s="56"/>
      <c r="GC710" s="56"/>
      <c r="GD710" s="56"/>
      <c r="GE710" s="56"/>
      <c r="GF710" s="56"/>
    </row>
    <row r="711" spans="1:57" s="43" customFormat="1" ht="15.75">
      <c r="A711" s="63"/>
      <c r="B711" s="104" t="s">
        <v>669</v>
      </c>
      <c r="C711" s="45"/>
      <c r="D711" s="44"/>
      <c r="E711" s="44"/>
      <c r="F711" s="44"/>
      <c r="G711" s="44"/>
      <c r="H711" s="44"/>
      <c r="I711" s="40"/>
      <c r="J711" s="40"/>
      <c r="K711" s="40"/>
      <c r="L711" s="60">
        <f>SUM(L712:L720)</f>
        <v>3</v>
      </c>
      <c r="M711" s="60">
        <f>SUM(M712:M720)</f>
        <v>1</v>
      </c>
      <c r="N711" s="60">
        <f>SUM(N712:N720)</f>
        <v>2</v>
      </c>
      <c r="O711" s="60">
        <f>SUM(O712:O720)</f>
        <v>2</v>
      </c>
      <c r="P711" s="60">
        <f>SUM(P712:P720)</f>
        <v>5</v>
      </c>
      <c r="Q711" s="70"/>
      <c r="R711" s="41"/>
      <c r="S711" s="41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BA711" s="49"/>
      <c r="BB711" s="42"/>
      <c r="BC711" s="42"/>
      <c r="BD711" s="42"/>
      <c r="BE711" s="42"/>
    </row>
    <row r="712" spans="1:48" s="43" customFormat="1" ht="15.75">
      <c r="A712" s="63"/>
      <c r="B712" s="105" t="s">
        <v>980</v>
      </c>
      <c r="C712" s="15" t="s">
        <v>981</v>
      </c>
      <c r="D712" s="40"/>
      <c r="E712" s="40"/>
      <c r="F712" s="40"/>
      <c r="G712" s="40"/>
      <c r="H712" s="40"/>
      <c r="I712" s="40"/>
      <c r="J712" s="40"/>
      <c r="K712" s="40"/>
      <c r="L712" s="40" t="s">
        <v>556</v>
      </c>
      <c r="M712" s="40" t="s">
        <v>556</v>
      </c>
      <c r="N712" s="40" t="s">
        <v>556</v>
      </c>
      <c r="O712" s="40" t="s">
        <v>556</v>
      </c>
      <c r="P712" s="40" t="s">
        <v>556</v>
      </c>
      <c r="Q712" s="70"/>
      <c r="R712" s="70"/>
      <c r="S712" s="70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</row>
    <row r="713" spans="1:48" s="43" customFormat="1" ht="15.75">
      <c r="A713" s="63"/>
      <c r="B713" s="97" t="s">
        <v>564</v>
      </c>
      <c r="C713" s="29" t="s">
        <v>565</v>
      </c>
      <c r="D713" s="40"/>
      <c r="E713" s="40"/>
      <c r="F713" s="40"/>
      <c r="G713" s="40"/>
      <c r="H713" s="40"/>
      <c r="I713" s="40"/>
      <c r="J713" s="40"/>
      <c r="K713" s="40"/>
      <c r="L713" s="40">
        <v>1</v>
      </c>
      <c r="M713" s="40" t="s">
        <v>556</v>
      </c>
      <c r="N713" s="40">
        <v>1</v>
      </c>
      <c r="O713" s="40" t="s">
        <v>556</v>
      </c>
      <c r="P713" s="40" t="s">
        <v>556</v>
      </c>
      <c r="Q713" s="70"/>
      <c r="R713" s="70"/>
      <c r="S713" s="70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</row>
    <row r="714" spans="1:48" s="43" customFormat="1" ht="15.75">
      <c r="A714" s="63"/>
      <c r="B714" s="97" t="s">
        <v>1292</v>
      </c>
      <c r="C714" s="29" t="s">
        <v>1293</v>
      </c>
      <c r="D714" s="40"/>
      <c r="E714" s="40"/>
      <c r="F714" s="40"/>
      <c r="G714" s="40"/>
      <c r="H714" s="40"/>
      <c r="I714" s="40"/>
      <c r="J714" s="40"/>
      <c r="K714" s="40"/>
      <c r="L714" s="40" t="s">
        <v>556</v>
      </c>
      <c r="M714" s="40" t="s">
        <v>556</v>
      </c>
      <c r="N714" s="40" t="s">
        <v>556</v>
      </c>
      <c r="O714" s="40" t="s">
        <v>556</v>
      </c>
      <c r="P714" s="40">
        <v>1</v>
      </c>
      <c r="Q714" s="70"/>
      <c r="R714" s="70"/>
      <c r="S714" s="70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</row>
    <row r="715" spans="1:48" s="43" customFormat="1" ht="15.75">
      <c r="A715" s="63"/>
      <c r="B715" s="97" t="s">
        <v>448</v>
      </c>
      <c r="C715" s="29" t="s">
        <v>449</v>
      </c>
      <c r="D715" s="40"/>
      <c r="E715" s="40"/>
      <c r="F715" s="40"/>
      <c r="G715" s="40"/>
      <c r="H715" s="40"/>
      <c r="I715" s="40"/>
      <c r="J715" s="40"/>
      <c r="K715" s="40"/>
      <c r="L715" s="40" t="s">
        <v>556</v>
      </c>
      <c r="M715" s="40">
        <v>1</v>
      </c>
      <c r="N715" s="40" t="s">
        <v>556</v>
      </c>
      <c r="O715" s="40" t="s">
        <v>556</v>
      </c>
      <c r="P715" s="40">
        <v>1</v>
      </c>
      <c r="Q715" s="70"/>
      <c r="R715" s="70"/>
      <c r="S715" s="70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</row>
    <row r="716" spans="1:48" s="43" customFormat="1" ht="15.75">
      <c r="A716" s="63"/>
      <c r="B716" s="105" t="s">
        <v>619</v>
      </c>
      <c r="C716" s="15" t="s">
        <v>1003</v>
      </c>
      <c r="D716" s="40"/>
      <c r="E716" s="40"/>
      <c r="F716" s="40"/>
      <c r="G716" s="40"/>
      <c r="H716" s="40"/>
      <c r="I716" s="40"/>
      <c r="J716" s="40"/>
      <c r="K716" s="40"/>
      <c r="L716" s="40" t="s">
        <v>556</v>
      </c>
      <c r="M716" s="40" t="s">
        <v>556</v>
      </c>
      <c r="N716" s="40" t="s">
        <v>556</v>
      </c>
      <c r="O716" s="40" t="s">
        <v>556</v>
      </c>
      <c r="P716" s="40">
        <v>1</v>
      </c>
      <c r="Q716" s="70"/>
      <c r="R716" s="70"/>
      <c r="S716" s="70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</row>
    <row r="717" spans="1:48" s="43" customFormat="1" ht="15.75">
      <c r="A717" s="63"/>
      <c r="B717" s="105" t="s">
        <v>414</v>
      </c>
      <c r="C717" s="15" t="s">
        <v>1026</v>
      </c>
      <c r="D717" s="40"/>
      <c r="E717" s="40"/>
      <c r="F717" s="40"/>
      <c r="G717" s="40"/>
      <c r="H717" s="40"/>
      <c r="I717" s="40"/>
      <c r="J717" s="40"/>
      <c r="K717" s="40"/>
      <c r="L717" s="40" t="s">
        <v>556</v>
      </c>
      <c r="M717" s="40" t="s">
        <v>556</v>
      </c>
      <c r="N717" s="40" t="s">
        <v>556</v>
      </c>
      <c r="O717" s="40" t="s">
        <v>556</v>
      </c>
      <c r="P717" s="40">
        <v>1</v>
      </c>
      <c r="Q717" s="70"/>
      <c r="R717" s="70"/>
      <c r="S717" s="70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46"/>
      <c r="AV717" s="46"/>
    </row>
    <row r="718" spans="1:48" s="43" customFormat="1" ht="15.75">
      <c r="A718" s="63"/>
      <c r="B718" s="105" t="s">
        <v>1329</v>
      </c>
      <c r="C718" s="66" t="s">
        <v>1330</v>
      </c>
      <c r="D718" s="40"/>
      <c r="E718" s="40"/>
      <c r="F718" s="40"/>
      <c r="G718" s="40"/>
      <c r="H718" s="40"/>
      <c r="I718" s="40"/>
      <c r="J718" s="40"/>
      <c r="K718" s="40"/>
      <c r="L718" s="40" t="s">
        <v>556</v>
      </c>
      <c r="M718" s="40" t="s">
        <v>556</v>
      </c>
      <c r="N718" s="40" t="s">
        <v>556</v>
      </c>
      <c r="O718" s="40">
        <v>1</v>
      </c>
      <c r="P718" s="40" t="s">
        <v>556</v>
      </c>
      <c r="Q718" s="70"/>
      <c r="R718" s="70"/>
      <c r="S718" s="70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</row>
    <row r="719" spans="1:48" s="43" customFormat="1" ht="15.75">
      <c r="A719" s="63"/>
      <c r="B719" s="97" t="s">
        <v>1320</v>
      </c>
      <c r="C719" s="29" t="s">
        <v>1322</v>
      </c>
      <c r="D719" s="40"/>
      <c r="E719" s="40"/>
      <c r="F719" s="40"/>
      <c r="G719" s="40"/>
      <c r="H719" s="40"/>
      <c r="I719" s="40"/>
      <c r="J719" s="40"/>
      <c r="K719" s="40"/>
      <c r="L719" s="40">
        <v>2</v>
      </c>
      <c r="M719" s="40" t="s">
        <v>556</v>
      </c>
      <c r="N719" s="40">
        <v>1</v>
      </c>
      <c r="O719" s="40" t="s">
        <v>556</v>
      </c>
      <c r="P719" s="40">
        <v>1</v>
      </c>
      <c r="Q719" s="70"/>
      <c r="R719" s="70"/>
      <c r="S719" s="70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  <c r="AT719" s="46"/>
      <c r="AU719" s="46"/>
      <c r="AV719" s="46"/>
    </row>
    <row r="720" spans="1:48" s="43" customFormat="1" ht="15.75">
      <c r="A720" s="63"/>
      <c r="B720" s="105" t="s">
        <v>786</v>
      </c>
      <c r="C720" s="15" t="s">
        <v>1296</v>
      </c>
      <c r="D720" s="40"/>
      <c r="E720" s="40"/>
      <c r="F720" s="40"/>
      <c r="G720" s="40"/>
      <c r="H720" s="40"/>
      <c r="I720" s="40"/>
      <c r="J720" s="40"/>
      <c r="K720" s="40"/>
      <c r="L720" s="40" t="s">
        <v>556</v>
      </c>
      <c r="M720" s="40" t="s">
        <v>556</v>
      </c>
      <c r="N720" s="40" t="s">
        <v>556</v>
      </c>
      <c r="O720" s="40">
        <v>1</v>
      </c>
      <c r="P720" s="40" t="s">
        <v>556</v>
      </c>
      <c r="Q720" s="70"/>
      <c r="R720" s="70"/>
      <c r="S720" s="70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46"/>
      <c r="AV720" s="46"/>
    </row>
    <row r="721" spans="1:48" s="18" customFormat="1" ht="18" customHeight="1">
      <c r="A721" s="50"/>
      <c r="B721" s="93" t="s">
        <v>37</v>
      </c>
      <c r="C721" s="16"/>
      <c r="D721" s="52"/>
      <c r="E721" s="51"/>
      <c r="F721" s="52"/>
      <c r="G721" s="52"/>
      <c r="H721" s="52"/>
      <c r="I721" s="52"/>
      <c r="J721" s="52"/>
      <c r="K721" s="52"/>
      <c r="L721" s="60" t="str">
        <f>L722</f>
        <v> -</v>
      </c>
      <c r="M721" s="60" t="str">
        <f>M722</f>
        <v> -</v>
      </c>
      <c r="N721" s="60" t="str">
        <f>N722</f>
        <v> -</v>
      </c>
      <c r="O721" s="60" t="str">
        <f>O722</f>
        <v> -</v>
      </c>
      <c r="P721" s="60">
        <f>P722</f>
        <v>2</v>
      </c>
      <c r="Q721" s="23"/>
      <c r="R721" s="23"/>
      <c r="S721" s="1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  <c r="AI721" s="47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</row>
    <row r="722" spans="1:48" s="27" customFormat="1" ht="33" customHeight="1">
      <c r="A722" s="12"/>
      <c r="B722" s="105" t="s">
        <v>611</v>
      </c>
      <c r="C722" s="15" t="s">
        <v>612</v>
      </c>
      <c r="D722" s="51"/>
      <c r="E722" s="51"/>
      <c r="F722" s="51" t="s">
        <v>556</v>
      </c>
      <c r="G722" s="51">
        <v>2</v>
      </c>
      <c r="H722" s="51">
        <v>2</v>
      </c>
      <c r="I722" s="51">
        <v>2</v>
      </c>
      <c r="J722" s="51"/>
      <c r="K722" s="51">
        <v>2</v>
      </c>
      <c r="L722" s="40" t="s">
        <v>556</v>
      </c>
      <c r="M722" s="40" t="s">
        <v>556</v>
      </c>
      <c r="N722" s="40" t="s">
        <v>556</v>
      </c>
      <c r="O722" s="40" t="s">
        <v>556</v>
      </c>
      <c r="P722" s="40">
        <v>2</v>
      </c>
      <c r="Q722" s="30"/>
      <c r="R722" s="30"/>
      <c r="S722" s="30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</row>
    <row r="723" spans="1:188" s="57" customFormat="1" ht="19.5" customHeight="1">
      <c r="A723" s="13">
        <v>9</v>
      </c>
      <c r="B723" s="92" t="s">
        <v>196</v>
      </c>
      <c r="C723" s="45"/>
      <c r="D723" s="44">
        <v>290</v>
      </c>
      <c r="E723" s="44">
        <v>65</v>
      </c>
      <c r="F723" s="44">
        <v>375</v>
      </c>
      <c r="G723" s="44">
        <v>313</v>
      </c>
      <c r="H723" s="44">
        <v>313</v>
      </c>
      <c r="I723" s="44">
        <v>313</v>
      </c>
      <c r="J723" s="44"/>
      <c r="K723" s="44">
        <v>313</v>
      </c>
      <c r="L723" s="44">
        <f>L724</f>
        <v>15</v>
      </c>
      <c r="M723" s="44">
        <f>M724</f>
        <v>1</v>
      </c>
      <c r="N723" s="44" t="str">
        <f>N724</f>
        <v> -</v>
      </c>
      <c r="O723" s="44">
        <f>O724</f>
        <v>4</v>
      </c>
      <c r="P723" s="44">
        <f>P724</f>
        <v>4</v>
      </c>
      <c r="Q723" s="54" t="s">
        <v>648</v>
      </c>
      <c r="R723" s="54">
        <v>1</v>
      </c>
      <c r="S723" s="55" t="s">
        <v>1041</v>
      </c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  <c r="AF723" s="56"/>
      <c r="AG723" s="56"/>
      <c r="AH723" s="56"/>
      <c r="AI723" s="56"/>
      <c r="AJ723" s="56"/>
      <c r="AK723" s="56"/>
      <c r="AL723" s="56"/>
      <c r="AM723" s="56"/>
      <c r="AN723" s="56"/>
      <c r="AO723" s="56"/>
      <c r="AP723" s="56"/>
      <c r="AQ723" s="56"/>
      <c r="AR723" s="56"/>
      <c r="AS723" s="56"/>
      <c r="AT723" s="56"/>
      <c r="AU723" s="56"/>
      <c r="AV723" s="56"/>
      <c r="AW723" s="56"/>
      <c r="AX723" s="56"/>
      <c r="AY723" s="56"/>
      <c r="AZ723" s="56"/>
      <c r="BA723" s="56"/>
      <c r="BB723" s="56"/>
      <c r="BC723" s="56"/>
      <c r="BD723" s="56"/>
      <c r="BE723" s="56"/>
      <c r="BF723" s="56"/>
      <c r="BG723" s="56"/>
      <c r="BH723" s="56"/>
      <c r="BI723" s="56"/>
      <c r="BJ723" s="56"/>
      <c r="BK723" s="56"/>
      <c r="BL723" s="56"/>
      <c r="BM723" s="56"/>
      <c r="BN723" s="56"/>
      <c r="BO723" s="56"/>
      <c r="BP723" s="56"/>
      <c r="BQ723" s="56"/>
      <c r="BR723" s="56"/>
      <c r="BS723" s="56"/>
      <c r="BT723" s="56"/>
      <c r="BU723" s="56"/>
      <c r="BV723" s="56"/>
      <c r="BW723" s="56"/>
      <c r="BX723" s="56"/>
      <c r="BY723" s="56"/>
      <c r="BZ723" s="56"/>
      <c r="CA723" s="56"/>
      <c r="CB723" s="56"/>
      <c r="CC723" s="56"/>
      <c r="CD723" s="56"/>
      <c r="CE723" s="56"/>
      <c r="CF723" s="56"/>
      <c r="CG723" s="56"/>
      <c r="CH723" s="56"/>
      <c r="CI723" s="56"/>
      <c r="CJ723" s="56"/>
      <c r="CK723" s="56"/>
      <c r="CL723" s="56"/>
      <c r="CM723" s="56"/>
      <c r="CN723" s="56"/>
      <c r="CO723" s="56"/>
      <c r="CP723" s="56"/>
      <c r="CQ723" s="56"/>
      <c r="CR723" s="56"/>
      <c r="CS723" s="56"/>
      <c r="CT723" s="56"/>
      <c r="CU723" s="56"/>
      <c r="CV723" s="56"/>
      <c r="CW723" s="56"/>
      <c r="CX723" s="56"/>
      <c r="CY723" s="56"/>
      <c r="CZ723" s="56"/>
      <c r="DA723" s="56"/>
      <c r="DB723" s="56"/>
      <c r="DC723" s="56"/>
      <c r="DD723" s="56"/>
      <c r="DE723" s="56"/>
      <c r="DF723" s="56"/>
      <c r="DG723" s="56"/>
      <c r="DH723" s="56"/>
      <c r="DI723" s="56"/>
      <c r="DJ723" s="56"/>
      <c r="DK723" s="56"/>
      <c r="DL723" s="56"/>
      <c r="DM723" s="56"/>
      <c r="DN723" s="56"/>
      <c r="DO723" s="56"/>
      <c r="DP723" s="56"/>
      <c r="DQ723" s="56"/>
      <c r="DR723" s="56"/>
      <c r="DS723" s="56"/>
      <c r="DT723" s="56"/>
      <c r="DU723" s="56"/>
      <c r="DV723" s="56"/>
      <c r="DW723" s="56"/>
      <c r="DX723" s="56"/>
      <c r="DY723" s="56"/>
      <c r="DZ723" s="56"/>
      <c r="EA723" s="56"/>
      <c r="EB723" s="56"/>
      <c r="EC723" s="56"/>
      <c r="ED723" s="56"/>
      <c r="EE723" s="56"/>
      <c r="EF723" s="56"/>
      <c r="EG723" s="56"/>
      <c r="EH723" s="56"/>
      <c r="EI723" s="56"/>
      <c r="EJ723" s="56"/>
      <c r="EK723" s="56"/>
      <c r="EL723" s="56"/>
      <c r="EM723" s="56"/>
      <c r="EN723" s="56"/>
      <c r="EO723" s="56"/>
      <c r="EP723" s="56"/>
      <c r="EQ723" s="56"/>
      <c r="ER723" s="56"/>
      <c r="ES723" s="56"/>
      <c r="ET723" s="56"/>
      <c r="EU723" s="56"/>
      <c r="EV723" s="56"/>
      <c r="EW723" s="56"/>
      <c r="EX723" s="56"/>
      <c r="EY723" s="56"/>
      <c r="EZ723" s="56"/>
      <c r="FA723" s="56"/>
      <c r="FB723" s="56"/>
      <c r="FC723" s="56"/>
      <c r="FD723" s="56"/>
      <c r="FE723" s="56"/>
      <c r="FF723" s="56"/>
      <c r="FG723" s="56"/>
      <c r="FH723" s="56"/>
      <c r="FI723" s="56"/>
      <c r="FJ723" s="56"/>
      <c r="FK723" s="56"/>
      <c r="FL723" s="56"/>
      <c r="FM723" s="56"/>
      <c r="FN723" s="56"/>
      <c r="FO723" s="56"/>
      <c r="FP723" s="56"/>
      <c r="FQ723" s="56"/>
      <c r="FR723" s="56"/>
      <c r="FS723" s="56"/>
      <c r="FT723" s="56"/>
      <c r="FU723" s="56"/>
      <c r="FV723" s="56"/>
      <c r="FW723" s="56"/>
      <c r="FX723" s="56"/>
      <c r="FY723" s="56"/>
      <c r="FZ723" s="56"/>
      <c r="GA723" s="56"/>
      <c r="GB723" s="56"/>
      <c r="GC723" s="56"/>
      <c r="GD723" s="56"/>
      <c r="GE723" s="56"/>
      <c r="GF723" s="56"/>
    </row>
    <row r="724" spans="1:57" s="43" customFormat="1" ht="15.75">
      <c r="A724" s="63"/>
      <c r="B724" s="104" t="s">
        <v>669</v>
      </c>
      <c r="C724" s="45"/>
      <c r="D724" s="44"/>
      <c r="E724" s="44"/>
      <c r="F724" s="44"/>
      <c r="G724" s="44"/>
      <c r="H724" s="44"/>
      <c r="I724" s="40"/>
      <c r="J724" s="40"/>
      <c r="K724" s="40"/>
      <c r="L724" s="60">
        <f>L725</f>
        <v>15</v>
      </c>
      <c r="M724" s="60">
        <f>M725</f>
        <v>1</v>
      </c>
      <c r="N724" s="60" t="s">
        <v>556</v>
      </c>
      <c r="O724" s="60">
        <f>O725</f>
        <v>4</v>
      </c>
      <c r="P724" s="60">
        <f>P725</f>
        <v>4</v>
      </c>
      <c r="Q724" s="70"/>
      <c r="R724" s="41"/>
      <c r="S724" s="41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  <c r="AT724" s="46"/>
      <c r="AU724" s="46"/>
      <c r="AV724" s="46"/>
      <c r="BA724" s="49"/>
      <c r="BB724" s="42"/>
      <c r="BC724" s="42"/>
      <c r="BD724" s="42"/>
      <c r="BE724" s="42"/>
    </row>
    <row r="725" spans="1:57" s="43" customFormat="1" ht="15.75">
      <c r="A725" s="63"/>
      <c r="B725" s="97" t="s">
        <v>10</v>
      </c>
      <c r="C725" s="29" t="s">
        <v>28</v>
      </c>
      <c r="D725" s="40"/>
      <c r="E725" s="40"/>
      <c r="F725" s="40">
        <v>93</v>
      </c>
      <c r="G725" s="40">
        <v>93</v>
      </c>
      <c r="H725" s="40">
        <v>93</v>
      </c>
      <c r="I725" s="40">
        <v>93</v>
      </c>
      <c r="J725" s="40"/>
      <c r="K725" s="40">
        <v>93</v>
      </c>
      <c r="L725" s="40">
        <v>15</v>
      </c>
      <c r="M725" s="40">
        <v>1</v>
      </c>
      <c r="N725" s="40" t="s">
        <v>556</v>
      </c>
      <c r="O725" s="40">
        <v>4</v>
      </c>
      <c r="P725" s="40">
        <v>4</v>
      </c>
      <c r="Q725" s="70"/>
      <c r="R725" s="41"/>
      <c r="S725" s="41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BA725" s="49"/>
      <c r="BB725" s="42"/>
      <c r="BC725" s="42"/>
      <c r="BD725" s="42"/>
      <c r="BE725" s="42"/>
    </row>
    <row r="726" spans="1:188" s="57" customFormat="1" ht="17.25" customHeight="1">
      <c r="A726" s="13">
        <v>10</v>
      </c>
      <c r="B726" s="92" t="s">
        <v>332</v>
      </c>
      <c r="C726" s="45"/>
      <c r="D726" s="44">
        <v>420</v>
      </c>
      <c r="E726" s="44">
        <v>46</v>
      </c>
      <c r="F726" s="44">
        <v>360</v>
      </c>
      <c r="G726" s="44">
        <v>342</v>
      </c>
      <c r="H726" s="44">
        <v>365</v>
      </c>
      <c r="I726" s="44">
        <v>368</v>
      </c>
      <c r="J726" s="44"/>
      <c r="K726" s="44">
        <v>370</v>
      </c>
      <c r="L726" s="44">
        <f>L727</f>
        <v>25</v>
      </c>
      <c r="M726" s="44">
        <f>M727</f>
        <v>25</v>
      </c>
      <c r="N726" s="44">
        <f>N727</f>
        <v>15</v>
      </c>
      <c r="O726" s="44">
        <f>O727</f>
        <v>15</v>
      </c>
      <c r="P726" s="44">
        <f>P727</f>
        <v>15</v>
      </c>
      <c r="Q726" s="54" t="s">
        <v>648</v>
      </c>
      <c r="R726" s="54">
        <v>1</v>
      </c>
      <c r="S726" s="55" t="s">
        <v>941</v>
      </c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  <c r="AE726" s="56"/>
      <c r="AF726" s="56"/>
      <c r="AG726" s="56"/>
      <c r="AH726" s="56"/>
      <c r="AI726" s="56"/>
      <c r="AJ726" s="56"/>
      <c r="AK726" s="56"/>
      <c r="AL726" s="56"/>
      <c r="AM726" s="56"/>
      <c r="AN726" s="56"/>
      <c r="AO726" s="56"/>
      <c r="AP726" s="56"/>
      <c r="AQ726" s="56"/>
      <c r="AR726" s="56"/>
      <c r="AS726" s="56"/>
      <c r="AT726" s="56"/>
      <c r="AU726" s="56"/>
      <c r="AV726" s="56"/>
      <c r="AW726" s="56"/>
      <c r="AX726" s="56"/>
      <c r="AY726" s="56"/>
      <c r="AZ726" s="56"/>
      <c r="BA726" s="56"/>
      <c r="BB726" s="56"/>
      <c r="BC726" s="56"/>
      <c r="BD726" s="56"/>
      <c r="BE726" s="56"/>
      <c r="BF726" s="56"/>
      <c r="BG726" s="56"/>
      <c r="BH726" s="56"/>
      <c r="BI726" s="56"/>
      <c r="BJ726" s="56"/>
      <c r="BK726" s="56"/>
      <c r="BL726" s="56"/>
      <c r="BM726" s="56"/>
      <c r="BN726" s="56"/>
      <c r="BO726" s="56"/>
      <c r="BP726" s="56"/>
      <c r="BQ726" s="56"/>
      <c r="BR726" s="56"/>
      <c r="BS726" s="56"/>
      <c r="BT726" s="56"/>
      <c r="BU726" s="56"/>
      <c r="BV726" s="56"/>
      <c r="BW726" s="56"/>
      <c r="BX726" s="56"/>
      <c r="BY726" s="56"/>
      <c r="BZ726" s="56"/>
      <c r="CA726" s="56"/>
      <c r="CB726" s="56"/>
      <c r="CC726" s="56"/>
      <c r="CD726" s="56"/>
      <c r="CE726" s="56"/>
      <c r="CF726" s="56"/>
      <c r="CG726" s="56"/>
      <c r="CH726" s="56"/>
      <c r="CI726" s="56"/>
      <c r="CJ726" s="56"/>
      <c r="CK726" s="56"/>
      <c r="CL726" s="56"/>
      <c r="CM726" s="56"/>
      <c r="CN726" s="56"/>
      <c r="CO726" s="56"/>
      <c r="CP726" s="56"/>
      <c r="CQ726" s="56"/>
      <c r="CR726" s="56"/>
      <c r="CS726" s="56"/>
      <c r="CT726" s="56"/>
      <c r="CU726" s="56"/>
      <c r="CV726" s="56"/>
      <c r="CW726" s="56"/>
      <c r="CX726" s="56"/>
      <c r="CY726" s="56"/>
      <c r="CZ726" s="56"/>
      <c r="DA726" s="56"/>
      <c r="DB726" s="56"/>
      <c r="DC726" s="56"/>
      <c r="DD726" s="56"/>
      <c r="DE726" s="56"/>
      <c r="DF726" s="56"/>
      <c r="DG726" s="56"/>
      <c r="DH726" s="56"/>
      <c r="DI726" s="56"/>
      <c r="DJ726" s="56"/>
      <c r="DK726" s="56"/>
      <c r="DL726" s="56"/>
      <c r="DM726" s="56"/>
      <c r="DN726" s="56"/>
      <c r="DO726" s="56"/>
      <c r="DP726" s="56"/>
      <c r="DQ726" s="56"/>
      <c r="DR726" s="56"/>
      <c r="DS726" s="56"/>
      <c r="DT726" s="56"/>
      <c r="DU726" s="56"/>
      <c r="DV726" s="56"/>
      <c r="DW726" s="56"/>
      <c r="DX726" s="56"/>
      <c r="DY726" s="56"/>
      <c r="DZ726" s="56"/>
      <c r="EA726" s="56"/>
      <c r="EB726" s="56"/>
      <c r="EC726" s="56"/>
      <c r="ED726" s="56"/>
      <c r="EE726" s="56"/>
      <c r="EF726" s="56"/>
      <c r="EG726" s="56"/>
      <c r="EH726" s="56"/>
      <c r="EI726" s="56"/>
      <c r="EJ726" s="56"/>
      <c r="EK726" s="56"/>
      <c r="EL726" s="56"/>
      <c r="EM726" s="56"/>
      <c r="EN726" s="56"/>
      <c r="EO726" s="56"/>
      <c r="EP726" s="56"/>
      <c r="EQ726" s="56"/>
      <c r="ER726" s="56"/>
      <c r="ES726" s="56"/>
      <c r="ET726" s="56"/>
      <c r="EU726" s="56"/>
      <c r="EV726" s="56"/>
      <c r="EW726" s="56"/>
      <c r="EX726" s="56"/>
      <c r="EY726" s="56"/>
      <c r="EZ726" s="56"/>
      <c r="FA726" s="56"/>
      <c r="FB726" s="56"/>
      <c r="FC726" s="56"/>
      <c r="FD726" s="56"/>
      <c r="FE726" s="56"/>
      <c r="FF726" s="56"/>
      <c r="FG726" s="56"/>
      <c r="FH726" s="56"/>
      <c r="FI726" s="56"/>
      <c r="FJ726" s="56"/>
      <c r="FK726" s="56"/>
      <c r="FL726" s="56"/>
      <c r="FM726" s="56"/>
      <c r="FN726" s="56"/>
      <c r="FO726" s="56"/>
      <c r="FP726" s="56"/>
      <c r="FQ726" s="56"/>
      <c r="FR726" s="56"/>
      <c r="FS726" s="56"/>
      <c r="FT726" s="56"/>
      <c r="FU726" s="56"/>
      <c r="FV726" s="56"/>
      <c r="FW726" s="56"/>
      <c r="FX726" s="56"/>
      <c r="FY726" s="56"/>
      <c r="FZ726" s="56"/>
      <c r="GA726" s="56"/>
      <c r="GB726" s="56"/>
      <c r="GC726" s="56"/>
      <c r="GD726" s="56"/>
      <c r="GE726" s="56"/>
      <c r="GF726" s="56"/>
    </row>
    <row r="727" spans="1:57" s="43" customFormat="1" ht="15.75">
      <c r="A727" s="13"/>
      <c r="B727" s="104" t="s">
        <v>669</v>
      </c>
      <c r="C727" s="15"/>
      <c r="D727" s="40"/>
      <c r="E727" s="40"/>
      <c r="F727" s="40"/>
      <c r="G727" s="40"/>
      <c r="H727" s="40"/>
      <c r="I727" s="40"/>
      <c r="J727" s="40"/>
      <c r="K727" s="40"/>
      <c r="L727" s="60">
        <f>SUM(L728:L729)</f>
        <v>25</v>
      </c>
      <c r="M727" s="60">
        <f>SUM(M728:M729)</f>
        <v>25</v>
      </c>
      <c r="N727" s="60">
        <f>SUM(N728:N729)</f>
        <v>15</v>
      </c>
      <c r="O727" s="60">
        <f>SUM(O728:O729)</f>
        <v>15</v>
      </c>
      <c r="P727" s="60">
        <f>SUM(P728:P729)</f>
        <v>15</v>
      </c>
      <c r="Q727" s="70"/>
      <c r="R727" s="41"/>
      <c r="S727" s="41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BA727" s="49"/>
      <c r="BB727" s="42"/>
      <c r="BC727" s="42"/>
      <c r="BD727" s="42"/>
      <c r="BE727" s="42"/>
    </row>
    <row r="728" spans="1:57" s="43" customFormat="1" ht="17.25" customHeight="1">
      <c r="A728" s="13"/>
      <c r="B728" s="105" t="s">
        <v>428</v>
      </c>
      <c r="C728" s="15" t="s">
        <v>429</v>
      </c>
      <c r="D728" s="40"/>
      <c r="E728" s="40"/>
      <c r="F728" s="40">
        <v>137</v>
      </c>
      <c r="G728" s="40">
        <v>140</v>
      </c>
      <c r="H728" s="40">
        <v>143</v>
      </c>
      <c r="I728" s="40">
        <v>146</v>
      </c>
      <c r="J728" s="40"/>
      <c r="K728" s="40">
        <v>150</v>
      </c>
      <c r="L728" s="40">
        <v>20</v>
      </c>
      <c r="M728" s="40">
        <v>20</v>
      </c>
      <c r="N728" s="40">
        <v>10</v>
      </c>
      <c r="O728" s="40">
        <v>10</v>
      </c>
      <c r="P728" s="40">
        <v>10</v>
      </c>
      <c r="Q728" s="70"/>
      <c r="R728" s="41"/>
      <c r="S728" s="41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BA728" s="49"/>
      <c r="BB728" s="42"/>
      <c r="BC728" s="42"/>
      <c r="BD728" s="42"/>
      <c r="BE728" s="42"/>
    </row>
    <row r="729" spans="1:57" s="43" customFormat="1" ht="17.25" customHeight="1">
      <c r="A729" s="13"/>
      <c r="B729" s="105" t="s">
        <v>430</v>
      </c>
      <c r="C729" s="15" t="s">
        <v>431</v>
      </c>
      <c r="D729" s="40"/>
      <c r="E729" s="40"/>
      <c r="F729" s="40">
        <v>50</v>
      </c>
      <c r="G729" s="40">
        <v>52</v>
      </c>
      <c r="H729" s="40">
        <v>54</v>
      </c>
      <c r="I729" s="40">
        <v>56</v>
      </c>
      <c r="J729" s="40"/>
      <c r="K729" s="40">
        <v>58</v>
      </c>
      <c r="L729" s="40">
        <v>5</v>
      </c>
      <c r="M729" s="40">
        <v>5</v>
      </c>
      <c r="N729" s="40">
        <v>5</v>
      </c>
      <c r="O729" s="40">
        <v>5</v>
      </c>
      <c r="P729" s="40">
        <v>5</v>
      </c>
      <c r="Q729" s="70"/>
      <c r="R729" s="41"/>
      <c r="S729" s="41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BA729" s="49"/>
      <c r="BB729" s="42"/>
      <c r="BC729" s="42"/>
      <c r="BD729" s="42"/>
      <c r="BE729" s="42"/>
    </row>
    <row r="730" spans="1:188" s="57" customFormat="1" ht="19.5" customHeight="1">
      <c r="A730" s="13">
        <v>11</v>
      </c>
      <c r="B730" s="92" t="s">
        <v>197</v>
      </c>
      <c r="C730" s="45"/>
      <c r="D730" s="44">
        <v>313</v>
      </c>
      <c r="E730" s="44">
        <v>40</v>
      </c>
      <c r="F730" s="44">
        <v>270</v>
      </c>
      <c r="G730" s="44">
        <v>289</v>
      </c>
      <c r="H730" s="44">
        <v>310</v>
      </c>
      <c r="I730" s="44">
        <v>332</v>
      </c>
      <c r="J730" s="44"/>
      <c r="K730" s="44">
        <v>332</v>
      </c>
      <c r="L730" s="44">
        <f>SUM(L731,L744)</f>
        <v>15</v>
      </c>
      <c r="M730" s="44">
        <f>SUM(M731,M744)</f>
        <v>8</v>
      </c>
      <c r="N730" s="44">
        <f>SUM(N731,N744)</f>
        <v>8</v>
      </c>
      <c r="O730" s="44">
        <f>SUM(O731,O744)</f>
        <v>11</v>
      </c>
      <c r="P730" s="44">
        <f>SUM(P731,P744)</f>
        <v>6</v>
      </c>
      <c r="Q730" s="54" t="s">
        <v>648</v>
      </c>
      <c r="R730" s="54">
        <v>1</v>
      </c>
      <c r="S730" s="55" t="s">
        <v>1040</v>
      </c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  <c r="AI730" s="56"/>
      <c r="AJ730" s="56"/>
      <c r="AK730" s="56"/>
      <c r="AL730" s="56"/>
      <c r="AM730" s="56"/>
      <c r="AN730" s="56"/>
      <c r="AO730" s="56"/>
      <c r="AP730" s="56"/>
      <c r="AQ730" s="56"/>
      <c r="AR730" s="56"/>
      <c r="AS730" s="56"/>
      <c r="AT730" s="56"/>
      <c r="AU730" s="56"/>
      <c r="AV730" s="56"/>
      <c r="AW730" s="56"/>
      <c r="AX730" s="56"/>
      <c r="AY730" s="56"/>
      <c r="AZ730" s="56"/>
      <c r="BA730" s="56"/>
      <c r="BB730" s="56"/>
      <c r="BC730" s="56"/>
      <c r="BD730" s="56"/>
      <c r="BE730" s="56"/>
      <c r="BF730" s="56"/>
      <c r="BG730" s="56"/>
      <c r="BH730" s="56"/>
      <c r="BI730" s="56"/>
      <c r="BJ730" s="56"/>
      <c r="BK730" s="56"/>
      <c r="BL730" s="56"/>
      <c r="BM730" s="56"/>
      <c r="BN730" s="56"/>
      <c r="BO730" s="56"/>
      <c r="BP730" s="56"/>
      <c r="BQ730" s="56"/>
      <c r="BR730" s="56"/>
      <c r="BS730" s="56"/>
      <c r="BT730" s="56"/>
      <c r="BU730" s="56"/>
      <c r="BV730" s="56"/>
      <c r="BW730" s="56"/>
      <c r="BX730" s="56"/>
      <c r="BY730" s="56"/>
      <c r="BZ730" s="56"/>
      <c r="CA730" s="56"/>
      <c r="CB730" s="56"/>
      <c r="CC730" s="56"/>
      <c r="CD730" s="56"/>
      <c r="CE730" s="56"/>
      <c r="CF730" s="56"/>
      <c r="CG730" s="56"/>
      <c r="CH730" s="56"/>
      <c r="CI730" s="56"/>
      <c r="CJ730" s="56"/>
      <c r="CK730" s="56"/>
      <c r="CL730" s="56"/>
      <c r="CM730" s="56"/>
      <c r="CN730" s="56"/>
      <c r="CO730" s="56"/>
      <c r="CP730" s="56"/>
      <c r="CQ730" s="56"/>
      <c r="CR730" s="56"/>
      <c r="CS730" s="56"/>
      <c r="CT730" s="56"/>
      <c r="CU730" s="56"/>
      <c r="CV730" s="56"/>
      <c r="CW730" s="56"/>
      <c r="CX730" s="56"/>
      <c r="CY730" s="56"/>
      <c r="CZ730" s="56"/>
      <c r="DA730" s="56"/>
      <c r="DB730" s="56"/>
      <c r="DC730" s="56"/>
      <c r="DD730" s="56"/>
      <c r="DE730" s="56"/>
      <c r="DF730" s="56"/>
      <c r="DG730" s="56"/>
      <c r="DH730" s="56"/>
      <c r="DI730" s="56"/>
      <c r="DJ730" s="56"/>
      <c r="DK730" s="56"/>
      <c r="DL730" s="56"/>
      <c r="DM730" s="56"/>
      <c r="DN730" s="56"/>
      <c r="DO730" s="56"/>
      <c r="DP730" s="56"/>
      <c r="DQ730" s="56"/>
      <c r="DR730" s="56"/>
      <c r="DS730" s="56"/>
      <c r="DT730" s="56"/>
      <c r="DU730" s="56"/>
      <c r="DV730" s="56"/>
      <c r="DW730" s="56"/>
      <c r="DX730" s="56"/>
      <c r="DY730" s="56"/>
      <c r="DZ730" s="56"/>
      <c r="EA730" s="56"/>
      <c r="EB730" s="56"/>
      <c r="EC730" s="56"/>
      <c r="ED730" s="56"/>
      <c r="EE730" s="56"/>
      <c r="EF730" s="56"/>
      <c r="EG730" s="56"/>
      <c r="EH730" s="56"/>
      <c r="EI730" s="56"/>
      <c r="EJ730" s="56"/>
      <c r="EK730" s="56"/>
      <c r="EL730" s="56"/>
      <c r="EM730" s="56"/>
      <c r="EN730" s="56"/>
      <c r="EO730" s="56"/>
      <c r="EP730" s="56"/>
      <c r="EQ730" s="56"/>
      <c r="ER730" s="56"/>
      <c r="ES730" s="56"/>
      <c r="ET730" s="56"/>
      <c r="EU730" s="56"/>
      <c r="EV730" s="56"/>
      <c r="EW730" s="56"/>
      <c r="EX730" s="56"/>
      <c r="EY730" s="56"/>
      <c r="EZ730" s="56"/>
      <c r="FA730" s="56"/>
      <c r="FB730" s="56"/>
      <c r="FC730" s="56"/>
      <c r="FD730" s="56"/>
      <c r="FE730" s="56"/>
      <c r="FF730" s="56"/>
      <c r="FG730" s="56"/>
      <c r="FH730" s="56"/>
      <c r="FI730" s="56"/>
      <c r="FJ730" s="56"/>
      <c r="FK730" s="56"/>
      <c r="FL730" s="56"/>
      <c r="FM730" s="56"/>
      <c r="FN730" s="56"/>
      <c r="FO730" s="56"/>
      <c r="FP730" s="56"/>
      <c r="FQ730" s="56"/>
      <c r="FR730" s="56"/>
      <c r="FS730" s="56"/>
      <c r="FT730" s="56"/>
      <c r="FU730" s="56"/>
      <c r="FV730" s="56"/>
      <c r="FW730" s="56"/>
      <c r="FX730" s="56"/>
      <c r="FY730" s="56"/>
      <c r="FZ730" s="56"/>
      <c r="GA730" s="56"/>
      <c r="GB730" s="56"/>
      <c r="GC730" s="56"/>
      <c r="GD730" s="56"/>
      <c r="GE730" s="56"/>
      <c r="GF730" s="56"/>
    </row>
    <row r="731" spans="1:57" s="43" customFormat="1" ht="15.75">
      <c r="A731" s="13"/>
      <c r="B731" s="104" t="s">
        <v>669</v>
      </c>
      <c r="C731" s="15"/>
      <c r="D731" s="223"/>
      <c r="E731" s="223"/>
      <c r="F731" s="223"/>
      <c r="G731" s="223"/>
      <c r="H731" s="223"/>
      <c r="I731" s="223"/>
      <c r="J731" s="223"/>
      <c r="K731" s="223"/>
      <c r="L731" s="122">
        <f>SUM(L732:L743)</f>
        <v>14</v>
      </c>
      <c r="M731" s="122">
        <f>SUM(M732:M743)</f>
        <v>8</v>
      </c>
      <c r="N731" s="122">
        <f>SUM(N732:N743)</f>
        <v>6</v>
      </c>
      <c r="O731" s="122">
        <f>SUM(O732:O743)</f>
        <v>11</v>
      </c>
      <c r="P731" s="122">
        <f>SUM(P732:P743)</f>
        <v>5</v>
      </c>
      <c r="Q731" s="70"/>
      <c r="R731" s="41"/>
      <c r="S731" s="41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BA731" s="49"/>
      <c r="BB731" s="42"/>
      <c r="BC731" s="42"/>
      <c r="BD731" s="42"/>
      <c r="BE731" s="42"/>
    </row>
    <row r="732" spans="1:57" s="43" customFormat="1" ht="18.75" customHeight="1">
      <c r="A732" s="13"/>
      <c r="B732" s="105" t="s">
        <v>975</v>
      </c>
      <c r="C732" s="15" t="s">
        <v>976</v>
      </c>
      <c r="D732" s="40"/>
      <c r="E732" s="40"/>
      <c r="F732" s="40">
        <v>1</v>
      </c>
      <c r="G732" s="40">
        <v>1</v>
      </c>
      <c r="H732" s="40">
        <v>2</v>
      </c>
      <c r="I732" s="40">
        <v>2</v>
      </c>
      <c r="J732" s="40"/>
      <c r="K732" s="40">
        <v>2</v>
      </c>
      <c r="L732" s="40" t="s">
        <v>556</v>
      </c>
      <c r="M732" s="40">
        <v>1</v>
      </c>
      <c r="N732" s="40">
        <v>2</v>
      </c>
      <c r="O732" s="40">
        <v>2</v>
      </c>
      <c r="P732" s="40" t="s">
        <v>556</v>
      </c>
      <c r="Q732" s="70"/>
      <c r="R732" s="41"/>
      <c r="S732" s="41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BA732" s="49"/>
      <c r="BB732" s="42"/>
      <c r="BC732" s="42"/>
      <c r="BD732" s="42"/>
      <c r="BE732" s="42"/>
    </row>
    <row r="733" spans="1:57" s="43" customFormat="1" ht="18" customHeight="1">
      <c r="A733" s="13"/>
      <c r="B733" s="105" t="s">
        <v>1320</v>
      </c>
      <c r="C733" s="15" t="s">
        <v>1322</v>
      </c>
      <c r="D733" s="40"/>
      <c r="E733" s="51"/>
      <c r="F733" s="40">
        <v>29</v>
      </c>
      <c r="G733" s="40">
        <v>33</v>
      </c>
      <c r="H733" s="40">
        <v>37</v>
      </c>
      <c r="I733" s="40">
        <v>43</v>
      </c>
      <c r="J733" s="40"/>
      <c r="K733" s="40">
        <v>43</v>
      </c>
      <c r="L733" s="40">
        <v>3</v>
      </c>
      <c r="M733" s="40">
        <v>2</v>
      </c>
      <c r="N733" s="40">
        <v>2</v>
      </c>
      <c r="O733" s="40">
        <v>2</v>
      </c>
      <c r="P733" s="40">
        <v>5</v>
      </c>
      <c r="Q733" s="70"/>
      <c r="R733" s="41"/>
      <c r="S733" s="41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BA733" s="49"/>
      <c r="BB733" s="42"/>
      <c r="BC733" s="42"/>
      <c r="BD733" s="42"/>
      <c r="BE733" s="42"/>
    </row>
    <row r="734" spans="1:57" s="43" customFormat="1" ht="18" customHeight="1">
      <c r="A734" s="13"/>
      <c r="B734" s="105" t="s">
        <v>977</v>
      </c>
      <c r="C734" s="15" t="s">
        <v>978</v>
      </c>
      <c r="D734" s="40"/>
      <c r="E734" s="51"/>
      <c r="F734" s="40">
        <v>1</v>
      </c>
      <c r="G734" s="40">
        <v>3</v>
      </c>
      <c r="H734" s="40">
        <v>4</v>
      </c>
      <c r="I734" s="40">
        <v>4</v>
      </c>
      <c r="J734" s="40"/>
      <c r="K734" s="40">
        <v>4</v>
      </c>
      <c r="L734" s="40" t="s">
        <v>556</v>
      </c>
      <c r="M734" s="40" t="s">
        <v>556</v>
      </c>
      <c r="N734" s="40" t="s">
        <v>556</v>
      </c>
      <c r="O734" s="40">
        <v>2</v>
      </c>
      <c r="P734" s="40" t="s">
        <v>556</v>
      </c>
      <c r="Q734" s="70"/>
      <c r="R734" s="41"/>
      <c r="S734" s="41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BA734" s="49"/>
      <c r="BB734" s="42"/>
      <c r="BC734" s="42"/>
      <c r="BD734" s="42"/>
      <c r="BE734" s="42"/>
    </row>
    <row r="735" spans="1:57" s="43" customFormat="1" ht="18" customHeight="1">
      <c r="A735" s="13"/>
      <c r="B735" s="105" t="s">
        <v>619</v>
      </c>
      <c r="C735" s="15" t="s">
        <v>1003</v>
      </c>
      <c r="D735" s="40"/>
      <c r="E735" s="51"/>
      <c r="F735" s="40">
        <v>4</v>
      </c>
      <c r="G735" s="40">
        <v>4</v>
      </c>
      <c r="H735" s="40">
        <v>4</v>
      </c>
      <c r="I735" s="40">
        <v>6</v>
      </c>
      <c r="J735" s="40"/>
      <c r="K735" s="40">
        <v>6</v>
      </c>
      <c r="L735" s="40" t="s">
        <v>556</v>
      </c>
      <c r="M735" s="40" t="s">
        <v>556</v>
      </c>
      <c r="N735" s="40" t="s">
        <v>556</v>
      </c>
      <c r="O735" s="40">
        <v>1</v>
      </c>
      <c r="P735" s="40" t="s">
        <v>556</v>
      </c>
      <c r="Q735" s="70"/>
      <c r="R735" s="41"/>
      <c r="S735" s="41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46"/>
      <c r="AV735" s="46"/>
      <c r="BA735" s="49"/>
      <c r="BB735" s="42"/>
      <c r="BC735" s="42"/>
      <c r="BD735" s="42"/>
      <c r="BE735" s="42"/>
    </row>
    <row r="736" spans="1:57" s="43" customFormat="1" ht="18" customHeight="1">
      <c r="A736" s="13"/>
      <c r="B736" s="105" t="s">
        <v>1002</v>
      </c>
      <c r="C736" s="15" t="s">
        <v>982</v>
      </c>
      <c r="D736" s="40"/>
      <c r="E736" s="51"/>
      <c r="F736" s="40"/>
      <c r="G736" s="40"/>
      <c r="H736" s="40"/>
      <c r="I736" s="40"/>
      <c r="J736" s="40"/>
      <c r="K736" s="40"/>
      <c r="L736" s="40">
        <v>1</v>
      </c>
      <c r="M736" s="40" t="s">
        <v>556</v>
      </c>
      <c r="N736" s="40" t="s">
        <v>556</v>
      </c>
      <c r="O736" s="40" t="s">
        <v>556</v>
      </c>
      <c r="P736" s="40" t="s">
        <v>556</v>
      </c>
      <c r="Q736" s="70"/>
      <c r="R736" s="41"/>
      <c r="S736" s="41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BA736" s="49"/>
      <c r="BB736" s="42"/>
      <c r="BC736" s="42"/>
      <c r="BD736" s="42"/>
      <c r="BE736" s="42"/>
    </row>
    <row r="737" spans="1:57" s="43" customFormat="1" ht="18" customHeight="1">
      <c r="A737" s="13"/>
      <c r="B737" s="105" t="s">
        <v>421</v>
      </c>
      <c r="C737" s="15" t="s">
        <v>1315</v>
      </c>
      <c r="D737" s="40"/>
      <c r="E737" s="51"/>
      <c r="F737" s="40">
        <v>82</v>
      </c>
      <c r="G737" s="40">
        <v>82</v>
      </c>
      <c r="H737" s="40">
        <v>89</v>
      </c>
      <c r="I737" s="40">
        <v>101</v>
      </c>
      <c r="J737" s="40"/>
      <c r="K737" s="40">
        <v>106</v>
      </c>
      <c r="L737" s="40">
        <v>5</v>
      </c>
      <c r="M737" s="40" t="s">
        <v>556</v>
      </c>
      <c r="N737" s="40" t="s">
        <v>556</v>
      </c>
      <c r="O737" s="40" t="s">
        <v>556</v>
      </c>
      <c r="P737" s="40" t="s">
        <v>556</v>
      </c>
      <c r="Q737" s="70"/>
      <c r="R737" s="41"/>
      <c r="S737" s="41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BA737" s="49"/>
      <c r="BB737" s="42"/>
      <c r="BC737" s="42"/>
      <c r="BD737" s="42"/>
      <c r="BE737" s="42"/>
    </row>
    <row r="738" spans="1:57" s="43" customFormat="1" ht="18" customHeight="1">
      <c r="A738" s="13"/>
      <c r="B738" s="105" t="s">
        <v>436</v>
      </c>
      <c r="C738" s="15" t="s">
        <v>437</v>
      </c>
      <c r="D738" s="40"/>
      <c r="E738" s="51"/>
      <c r="F738" s="40">
        <v>20</v>
      </c>
      <c r="G738" s="40">
        <v>22</v>
      </c>
      <c r="H738" s="40">
        <v>24</v>
      </c>
      <c r="I738" s="40">
        <v>24</v>
      </c>
      <c r="J738" s="40"/>
      <c r="K738" s="40">
        <v>29</v>
      </c>
      <c r="L738" s="40">
        <v>2</v>
      </c>
      <c r="M738" s="40" t="s">
        <v>556</v>
      </c>
      <c r="N738" s="40" t="s">
        <v>556</v>
      </c>
      <c r="O738" s="40">
        <v>3</v>
      </c>
      <c r="P738" s="40" t="s">
        <v>556</v>
      </c>
      <c r="Q738" s="70"/>
      <c r="R738" s="41"/>
      <c r="S738" s="41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BA738" s="49"/>
      <c r="BB738" s="42"/>
      <c r="BC738" s="42"/>
      <c r="BD738" s="42"/>
      <c r="BE738" s="42"/>
    </row>
    <row r="739" spans="1:57" s="43" customFormat="1" ht="17.25" customHeight="1">
      <c r="A739" s="13"/>
      <c r="B739" s="105" t="s">
        <v>980</v>
      </c>
      <c r="C739" s="15" t="s">
        <v>981</v>
      </c>
      <c r="D739" s="40"/>
      <c r="E739" s="51"/>
      <c r="F739" s="40">
        <v>3</v>
      </c>
      <c r="G739" s="40">
        <v>4</v>
      </c>
      <c r="H739" s="40">
        <v>5</v>
      </c>
      <c r="I739" s="40">
        <v>5</v>
      </c>
      <c r="J739" s="40"/>
      <c r="K739" s="40">
        <v>5</v>
      </c>
      <c r="L739" s="40" t="s">
        <v>556</v>
      </c>
      <c r="M739" s="40">
        <v>2</v>
      </c>
      <c r="N739" s="40" t="s">
        <v>556</v>
      </c>
      <c r="O739" s="40" t="s">
        <v>556</v>
      </c>
      <c r="P739" s="40" t="s">
        <v>556</v>
      </c>
      <c r="Q739" s="70"/>
      <c r="R739" s="41"/>
      <c r="S739" s="41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BA739" s="49"/>
      <c r="BB739" s="42"/>
      <c r="BC739" s="42"/>
      <c r="BD739" s="42"/>
      <c r="BE739" s="42"/>
    </row>
    <row r="740" spans="1:57" s="43" customFormat="1" ht="16.5" customHeight="1">
      <c r="A740" s="13"/>
      <c r="B740" s="105" t="s">
        <v>1329</v>
      </c>
      <c r="C740" s="66" t="s">
        <v>1330</v>
      </c>
      <c r="D740" s="40"/>
      <c r="E740" s="51"/>
      <c r="F740" s="40">
        <v>4</v>
      </c>
      <c r="G740" s="40">
        <v>5</v>
      </c>
      <c r="H740" s="40">
        <v>5</v>
      </c>
      <c r="I740" s="40">
        <v>6</v>
      </c>
      <c r="J740" s="40"/>
      <c r="K740" s="40">
        <v>6</v>
      </c>
      <c r="L740" s="40" t="s">
        <v>556</v>
      </c>
      <c r="M740" s="40">
        <v>2</v>
      </c>
      <c r="N740" s="40" t="s">
        <v>556</v>
      </c>
      <c r="O740" s="40" t="s">
        <v>556</v>
      </c>
      <c r="P740" s="40" t="s">
        <v>556</v>
      </c>
      <c r="Q740" s="70"/>
      <c r="R740" s="41"/>
      <c r="S740" s="41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BA740" s="49"/>
      <c r="BB740" s="42"/>
      <c r="BC740" s="42"/>
      <c r="BD740" s="42"/>
      <c r="BE740" s="42"/>
    </row>
    <row r="741" spans="1:57" s="43" customFormat="1" ht="15.75">
      <c r="A741" s="13"/>
      <c r="B741" s="105" t="s">
        <v>448</v>
      </c>
      <c r="C741" s="15" t="s">
        <v>449</v>
      </c>
      <c r="D741" s="40"/>
      <c r="E741" s="40"/>
      <c r="F741" s="40">
        <v>4</v>
      </c>
      <c r="G741" s="40">
        <v>4</v>
      </c>
      <c r="H741" s="40">
        <v>5</v>
      </c>
      <c r="I741" s="40">
        <v>5</v>
      </c>
      <c r="J741" s="40"/>
      <c r="K741" s="40">
        <v>5</v>
      </c>
      <c r="L741" s="40">
        <v>1</v>
      </c>
      <c r="M741" s="40">
        <v>1</v>
      </c>
      <c r="N741" s="40">
        <v>1</v>
      </c>
      <c r="O741" s="40">
        <v>1</v>
      </c>
      <c r="P741" s="40" t="s">
        <v>556</v>
      </c>
      <c r="Q741" s="70"/>
      <c r="R741" s="41"/>
      <c r="S741" s="41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BA741" s="49"/>
      <c r="BB741" s="42"/>
      <c r="BC741" s="42"/>
      <c r="BD741" s="42"/>
      <c r="BE741" s="42"/>
    </row>
    <row r="742" spans="1:57" s="43" customFormat="1" ht="18.75" customHeight="1">
      <c r="A742" s="13"/>
      <c r="B742" s="105" t="s">
        <v>1316</v>
      </c>
      <c r="C742" s="15" t="s">
        <v>1317</v>
      </c>
      <c r="D742" s="40"/>
      <c r="E742" s="51"/>
      <c r="F742" s="40">
        <v>2</v>
      </c>
      <c r="G742" s="40">
        <v>3</v>
      </c>
      <c r="H742" s="40">
        <v>3</v>
      </c>
      <c r="I742" s="40">
        <v>3</v>
      </c>
      <c r="J742" s="40"/>
      <c r="K742" s="40">
        <v>3</v>
      </c>
      <c r="L742" s="40" t="s">
        <v>556</v>
      </c>
      <c r="M742" s="40" t="s">
        <v>556</v>
      </c>
      <c r="N742" s="40">
        <v>1</v>
      </c>
      <c r="O742" s="40" t="s">
        <v>556</v>
      </c>
      <c r="P742" s="40" t="s">
        <v>556</v>
      </c>
      <c r="Q742" s="70"/>
      <c r="R742" s="41"/>
      <c r="S742" s="41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46"/>
      <c r="AV742" s="46"/>
      <c r="BA742" s="49"/>
      <c r="BB742" s="42"/>
      <c r="BC742" s="42"/>
      <c r="BD742" s="42"/>
      <c r="BE742" s="42"/>
    </row>
    <row r="743" spans="1:57" s="43" customFormat="1" ht="18" customHeight="1">
      <c r="A743" s="13"/>
      <c r="B743" s="105" t="s">
        <v>432</v>
      </c>
      <c r="C743" s="15" t="s">
        <v>433</v>
      </c>
      <c r="D743" s="40"/>
      <c r="E743" s="51"/>
      <c r="F743" s="40">
        <v>28</v>
      </c>
      <c r="G743" s="40">
        <v>31</v>
      </c>
      <c r="H743" s="40">
        <v>34</v>
      </c>
      <c r="I743" s="40">
        <v>34</v>
      </c>
      <c r="J743" s="40"/>
      <c r="K743" s="40">
        <v>44</v>
      </c>
      <c r="L743" s="40">
        <v>2</v>
      </c>
      <c r="M743" s="40" t="s">
        <v>556</v>
      </c>
      <c r="N743" s="40" t="s">
        <v>556</v>
      </c>
      <c r="O743" s="40" t="s">
        <v>556</v>
      </c>
      <c r="P743" s="40" t="s">
        <v>556</v>
      </c>
      <c r="Q743" s="70"/>
      <c r="R743" s="41"/>
      <c r="S743" s="41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BA743" s="49"/>
      <c r="BB743" s="42"/>
      <c r="BC743" s="42"/>
      <c r="BD743" s="42"/>
      <c r="BE743" s="42"/>
    </row>
    <row r="744" spans="1:48" s="18" customFormat="1" ht="15.75" customHeight="1">
      <c r="A744" s="50"/>
      <c r="B744" s="93" t="s">
        <v>37</v>
      </c>
      <c r="C744" s="16"/>
      <c r="D744" s="52"/>
      <c r="E744" s="51"/>
      <c r="F744" s="52"/>
      <c r="G744" s="52"/>
      <c r="H744" s="52"/>
      <c r="I744" s="52"/>
      <c r="J744" s="52"/>
      <c r="K744" s="52"/>
      <c r="L744" s="60">
        <f>SUM(L746:L749)</f>
        <v>1</v>
      </c>
      <c r="M744" s="60" t="s">
        <v>556</v>
      </c>
      <c r="N744" s="60">
        <f>SUM(N746:N749)</f>
        <v>2</v>
      </c>
      <c r="O744" s="60" t="s">
        <v>556</v>
      </c>
      <c r="P744" s="60">
        <f>SUM(P746:P749)</f>
        <v>1</v>
      </c>
      <c r="Q744" s="23"/>
      <c r="R744" s="23"/>
      <c r="S744" s="1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7"/>
      <c r="AI744" s="47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</row>
    <row r="745" spans="1:48" s="27" customFormat="1" ht="31.5" customHeight="1">
      <c r="A745" s="12"/>
      <c r="B745" s="106" t="s">
        <v>106</v>
      </c>
      <c r="C745" s="15" t="s">
        <v>107</v>
      </c>
      <c r="D745" s="51"/>
      <c r="E745" s="51"/>
      <c r="F745" s="51"/>
      <c r="G745" s="51"/>
      <c r="H745" s="51"/>
      <c r="I745" s="51"/>
      <c r="J745" s="51"/>
      <c r="K745" s="51"/>
      <c r="L745" s="40" t="s">
        <v>556</v>
      </c>
      <c r="M745" s="40" t="s">
        <v>556</v>
      </c>
      <c r="N745" s="40" t="s">
        <v>556</v>
      </c>
      <c r="O745" s="40">
        <v>1</v>
      </c>
      <c r="P745" s="40" t="s">
        <v>556</v>
      </c>
      <c r="Q745" s="30"/>
      <c r="R745" s="30"/>
      <c r="S745" s="30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</row>
    <row r="746" spans="1:48" s="27" customFormat="1" ht="16.5" customHeight="1">
      <c r="A746" s="12"/>
      <c r="B746" s="106" t="s">
        <v>40</v>
      </c>
      <c r="C746" s="66" t="s">
        <v>39</v>
      </c>
      <c r="D746" s="51"/>
      <c r="E746" s="51"/>
      <c r="F746" s="51"/>
      <c r="G746" s="51"/>
      <c r="H746" s="51"/>
      <c r="I746" s="51"/>
      <c r="J746" s="51"/>
      <c r="K746" s="51"/>
      <c r="L746" s="40" t="s">
        <v>556</v>
      </c>
      <c r="M746" s="40" t="s">
        <v>556</v>
      </c>
      <c r="N746" s="40" t="s">
        <v>556</v>
      </c>
      <c r="O746" s="40" t="s">
        <v>556</v>
      </c>
      <c r="P746" s="40">
        <v>1</v>
      </c>
      <c r="Q746" s="30"/>
      <c r="R746" s="30"/>
      <c r="S746" s="30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</row>
    <row r="747" spans="1:48" s="27" customFormat="1" ht="32.25" customHeight="1">
      <c r="A747" s="12"/>
      <c r="B747" s="105" t="s">
        <v>611</v>
      </c>
      <c r="C747" s="15" t="s">
        <v>612</v>
      </c>
      <c r="D747" s="51"/>
      <c r="E747" s="51"/>
      <c r="F747" s="51"/>
      <c r="G747" s="51"/>
      <c r="H747" s="51"/>
      <c r="I747" s="51"/>
      <c r="J747" s="51"/>
      <c r="K747" s="51"/>
      <c r="L747" s="40" t="s">
        <v>556</v>
      </c>
      <c r="M747" s="40" t="s">
        <v>556</v>
      </c>
      <c r="N747" s="40">
        <v>1</v>
      </c>
      <c r="O747" s="40" t="s">
        <v>556</v>
      </c>
      <c r="P747" s="40" t="s">
        <v>556</v>
      </c>
      <c r="Q747" s="30"/>
      <c r="R747" s="30"/>
      <c r="S747" s="30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</row>
    <row r="748" spans="1:48" s="27" customFormat="1" ht="16.5" customHeight="1">
      <c r="A748" s="12"/>
      <c r="B748" s="111" t="s">
        <v>862</v>
      </c>
      <c r="C748" s="15" t="s">
        <v>863</v>
      </c>
      <c r="D748" s="51"/>
      <c r="E748" s="51"/>
      <c r="F748" s="51"/>
      <c r="G748" s="51"/>
      <c r="H748" s="51"/>
      <c r="I748" s="51"/>
      <c r="J748" s="51"/>
      <c r="K748" s="51"/>
      <c r="L748" s="40" t="s">
        <v>556</v>
      </c>
      <c r="M748" s="40" t="s">
        <v>556</v>
      </c>
      <c r="N748" s="40">
        <v>1</v>
      </c>
      <c r="O748" s="40" t="s">
        <v>556</v>
      </c>
      <c r="P748" s="40" t="s">
        <v>556</v>
      </c>
      <c r="Q748" s="30"/>
      <c r="R748" s="30"/>
      <c r="S748" s="30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</row>
    <row r="749" spans="1:48" s="27" customFormat="1" ht="16.5" customHeight="1">
      <c r="A749" s="12"/>
      <c r="B749" s="106" t="s">
        <v>109</v>
      </c>
      <c r="C749" s="66" t="s">
        <v>110</v>
      </c>
      <c r="D749" s="51"/>
      <c r="E749" s="51"/>
      <c r="F749" s="51"/>
      <c r="G749" s="51"/>
      <c r="H749" s="51"/>
      <c r="I749" s="51"/>
      <c r="J749" s="51"/>
      <c r="K749" s="51"/>
      <c r="L749" s="40">
        <v>1</v>
      </c>
      <c r="M749" s="40" t="s">
        <v>556</v>
      </c>
      <c r="N749" s="40" t="s">
        <v>556</v>
      </c>
      <c r="O749" s="40" t="s">
        <v>556</v>
      </c>
      <c r="P749" s="40" t="s">
        <v>556</v>
      </c>
      <c r="Q749" s="30"/>
      <c r="R749" s="30"/>
      <c r="S749" s="30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</row>
    <row r="750" spans="1:188" s="57" customFormat="1" ht="18.75" customHeight="1">
      <c r="A750" s="13">
        <v>12</v>
      </c>
      <c r="B750" s="92" t="s">
        <v>198</v>
      </c>
      <c r="C750" s="45"/>
      <c r="D750" s="44">
        <v>167</v>
      </c>
      <c r="E750" s="44">
        <v>8</v>
      </c>
      <c r="F750" s="44"/>
      <c r="G750" s="44">
        <v>167</v>
      </c>
      <c r="H750" s="44">
        <v>167</v>
      </c>
      <c r="I750" s="44">
        <v>167</v>
      </c>
      <c r="J750" s="44">
        <v>167</v>
      </c>
      <c r="K750" s="44">
        <v>167</v>
      </c>
      <c r="L750" s="44">
        <v>5</v>
      </c>
      <c r="M750" s="44">
        <v>3</v>
      </c>
      <c r="N750" s="44" t="s">
        <v>556</v>
      </c>
      <c r="O750" s="44" t="s">
        <v>556</v>
      </c>
      <c r="P750" s="44" t="s">
        <v>556</v>
      </c>
      <c r="Q750" s="54" t="s">
        <v>648</v>
      </c>
      <c r="R750" s="54">
        <v>1</v>
      </c>
      <c r="S750" s="55" t="s">
        <v>1274</v>
      </c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  <c r="AG750" s="56"/>
      <c r="AH750" s="56"/>
      <c r="AI750" s="56"/>
      <c r="AJ750" s="56"/>
      <c r="AK750" s="56"/>
      <c r="AL750" s="56"/>
      <c r="AM750" s="56"/>
      <c r="AN750" s="56"/>
      <c r="AO750" s="56"/>
      <c r="AP750" s="56"/>
      <c r="AQ750" s="56"/>
      <c r="AR750" s="56"/>
      <c r="AS750" s="56"/>
      <c r="AT750" s="56"/>
      <c r="AU750" s="56"/>
      <c r="AV750" s="56"/>
      <c r="AW750" s="56"/>
      <c r="AX750" s="56"/>
      <c r="AY750" s="56"/>
      <c r="AZ750" s="56"/>
      <c r="BA750" s="56"/>
      <c r="BB750" s="56"/>
      <c r="BC750" s="56"/>
      <c r="BD750" s="56"/>
      <c r="BE750" s="56"/>
      <c r="BF750" s="56"/>
      <c r="BG750" s="56"/>
      <c r="BH750" s="56"/>
      <c r="BI750" s="56"/>
      <c r="BJ750" s="56"/>
      <c r="BK750" s="56"/>
      <c r="BL750" s="56"/>
      <c r="BM750" s="56"/>
      <c r="BN750" s="56"/>
      <c r="BO750" s="56"/>
      <c r="BP750" s="56"/>
      <c r="BQ750" s="56"/>
      <c r="BR750" s="56"/>
      <c r="BS750" s="56"/>
      <c r="BT750" s="56"/>
      <c r="BU750" s="56"/>
      <c r="BV750" s="56"/>
      <c r="BW750" s="56"/>
      <c r="BX750" s="56"/>
      <c r="BY750" s="56"/>
      <c r="BZ750" s="56"/>
      <c r="CA750" s="56"/>
      <c r="CB750" s="56"/>
      <c r="CC750" s="56"/>
      <c r="CD750" s="56"/>
      <c r="CE750" s="56"/>
      <c r="CF750" s="56"/>
      <c r="CG750" s="56"/>
      <c r="CH750" s="56"/>
      <c r="CI750" s="56"/>
      <c r="CJ750" s="56"/>
      <c r="CK750" s="56"/>
      <c r="CL750" s="56"/>
      <c r="CM750" s="56"/>
      <c r="CN750" s="56"/>
      <c r="CO750" s="56"/>
      <c r="CP750" s="56"/>
      <c r="CQ750" s="56"/>
      <c r="CR750" s="56"/>
      <c r="CS750" s="56"/>
      <c r="CT750" s="56"/>
      <c r="CU750" s="56"/>
      <c r="CV750" s="56"/>
      <c r="CW750" s="56"/>
      <c r="CX750" s="56"/>
      <c r="CY750" s="56"/>
      <c r="CZ750" s="56"/>
      <c r="DA750" s="56"/>
      <c r="DB750" s="56"/>
      <c r="DC750" s="56"/>
      <c r="DD750" s="56"/>
      <c r="DE750" s="56"/>
      <c r="DF750" s="56"/>
      <c r="DG750" s="56"/>
      <c r="DH750" s="56"/>
      <c r="DI750" s="56"/>
      <c r="DJ750" s="56"/>
      <c r="DK750" s="56"/>
      <c r="DL750" s="56"/>
      <c r="DM750" s="56"/>
      <c r="DN750" s="56"/>
      <c r="DO750" s="56"/>
      <c r="DP750" s="56"/>
      <c r="DQ750" s="56"/>
      <c r="DR750" s="56"/>
      <c r="DS750" s="56"/>
      <c r="DT750" s="56"/>
      <c r="DU750" s="56"/>
      <c r="DV750" s="56"/>
      <c r="DW750" s="56"/>
      <c r="DX750" s="56"/>
      <c r="DY750" s="56"/>
      <c r="DZ750" s="56"/>
      <c r="EA750" s="56"/>
      <c r="EB750" s="56"/>
      <c r="EC750" s="56"/>
      <c r="ED750" s="56"/>
      <c r="EE750" s="56"/>
      <c r="EF750" s="56"/>
      <c r="EG750" s="56"/>
      <c r="EH750" s="56"/>
      <c r="EI750" s="56"/>
      <c r="EJ750" s="56"/>
      <c r="EK750" s="56"/>
      <c r="EL750" s="56"/>
      <c r="EM750" s="56"/>
      <c r="EN750" s="56"/>
      <c r="EO750" s="56"/>
      <c r="EP750" s="56"/>
      <c r="EQ750" s="56"/>
      <c r="ER750" s="56"/>
      <c r="ES750" s="56"/>
      <c r="ET750" s="56"/>
      <c r="EU750" s="56"/>
      <c r="EV750" s="56"/>
      <c r="EW750" s="56"/>
      <c r="EX750" s="56"/>
      <c r="EY750" s="56"/>
      <c r="EZ750" s="56"/>
      <c r="FA750" s="56"/>
      <c r="FB750" s="56"/>
      <c r="FC750" s="56"/>
      <c r="FD750" s="56"/>
      <c r="FE750" s="56"/>
      <c r="FF750" s="56"/>
      <c r="FG750" s="56"/>
      <c r="FH750" s="56"/>
      <c r="FI750" s="56"/>
      <c r="FJ750" s="56"/>
      <c r="FK750" s="56"/>
      <c r="FL750" s="56"/>
      <c r="FM750" s="56"/>
      <c r="FN750" s="56"/>
      <c r="FO750" s="56"/>
      <c r="FP750" s="56"/>
      <c r="FQ750" s="56"/>
      <c r="FR750" s="56"/>
      <c r="FS750" s="56"/>
      <c r="FT750" s="56"/>
      <c r="FU750" s="56"/>
      <c r="FV750" s="56"/>
      <c r="FW750" s="56"/>
      <c r="FX750" s="56"/>
      <c r="FY750" s="56"/>
      <c r="FZ750" s="56"/>
      <c r="GA750" s="56"/>
      <c r="GB750" s="56"/>
      <c r="GC750" s="56"/>
      <c r="GD750" s="56"/>
      <c r="GE750" s="56"/>
      <c r="GF750" s="56"/>
    </row>
    <row r="751" spans="1:48" s="18" customFormat="1" ht="17.25" customHeight="1">
      <c r="A751" s="50"/>
      <c r="B751" s="93" t="s">
        <v>669</v>
      </c>
      <c r="C751" s="16"/>
      <c r="D751" s="52"/>
      <c r="E751" s="52"/>
      <c r="F751" s="52"/>
      <c r="G751" s="52"/>
      <c r="H751" s="52"/>
      <c r="I751" s="52"/>
      <c r="J751" s="52"/>
      <c r="K751" s="52"/>
      <c r="L751" s="60">
        <f>SUM(L752:L755)</f>
        <v>4</v>
      </c>
      <c r="M751" s="60">
        <f>SUM(M752:M755)</f>
        <v>2</v>
      </c>
      <c r="N751" s="60" t="s">
        <v>556</v>
      </c>
      <c r="O751" s="60" t="s">
        <v>556</v>
      </c>
      <c r="P751" s="60" t="s">
        <v>556</v>
      </c>
      <c r="Q751" s="23"/>
      <c r="R751" s="23"/>
      <c r="S751" s="1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  <c r="AI751" s="47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</row>
    <row r="752" spans="1:48" s="27" customFormat="1" ht="17.25" customHeight="1">
      <c r="A752" s="12"/>
      <c r="B752" s="105" t="s">
        <v>786</v>
      </c>
      <c r="C752" s="15" t="s">
        <v>1296</v>
      </c>
      <c r="D752" s="40"/>
      <c r="E752" s="40"/>
      <c r="F752" s="40"/>
      <c r="G752" s="40">
        <v>3</v>
      </c>
      <c r="H752" s="40">
        <v>3</v>
      </c>
      <c r="I752" s="40">
        <v>3</v>
      </c>
      <c r="J752" s="40">
        <v>3</v>
      </c>
      <c r="K752" s="40">
        <v>3</v>
      </c>
      <c r="L752" s="40">
        <v>1</v>
      </c>
      <c r="M752" s="40" t="s">
        <v>556</v>
      </c>
      <c r="N752" s="40" t="s">
        <v>556</v>
      </c>
      <c r="O752" s="40" t="s">
        <v>556</v>
      </c>
      <c r="P752" s="40" t="s">
        <v>556</v>
      </c>
      <c r="Q752" s="30"/>
      <c r="R752" s="30"/>
      <c r="S752" s="30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</row>
    <row r="753" spans="1:48" s="27" customFormat="1" ht="18.75" customHeight="1">
      <c r="A753" s="12"/>
      <c r="B753" s="97" t="s">
        <v>448</v>
      </c>
      <c r="C753" s="29" t="s">
        <v>449</v>
      </c>
      <c r="D753" s="51"/>
      <c r="E753" s="51"/>
      <c r="F753" s="51"/>
      <c r="G753" s="51">
        <v>3</v>
      </c>
      <c r="H753" s="51">
        <v>3</v>
      </c>
      <c r="I753" s="51">
        <v>3</v>
      </c>
      <c r="J753" s="51">
        <v>3</v>
      </c>
      <c r="K753" s="51">
        <v>3</v>
      </c>
      <c r="L753" s="40">
        <v>1</v>
      </c>
      <c r="M753" s="40" t="s">
        <v>556</v>
      </c>
      <c r="N753" s="40" t="s">
        <v>556</v>
      </c>
      <c r="O753" s="40" t="s">
        <v>556</v>
      </c>
      <c r="P753" s="40" t="s">
        <v>556</v>
      </c>
      <c r="Q753" s="33"/>
      <c r="R753" s="28"/>
      <c r="S753" s="2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</row>
    <row r="754" spans="1:48" s="27" customFormat="1" ht="17.25" customHeight="1">
      <c r="A754" s="12"/>
      <c r="B754" s="97" t="s">
        <v>460</v>
      </c>
      <c r="C754" s="29" t="s">
        <v>544</v>
      </c>
      <c r="D754" s="40"/>
      <c r="E754" s="40"/>
      <c r="F754" s="40"/>
      <c r="G754" s="40">
        <v>5</v>
      </c>
      <c r="H754" s="40">
        <v>5</v>
      </c>
      <c r="I754" s="40">
        <v>5</v>
      </c>
      <c r="J754" s="40">
        <v>5</v>
      </c>
      <c r="K754" s="40">
        <v>5</v>
      </c>
      <c r="L754" s="40">
        <v>1</v>
      </c>
      <c r="M754" s="40">
        <v>2</v>
      </c>
      <c r="N754" s="40" t="s">
        <v>556</v>
      </c>
      <c r="O754" s="40" t="s">
        <v>556</v>
      </c>
      <c r="P754" s="40" t="s">
        <v>556</v>
      </c>
      <c r="Q754" s="30"/>
      <c r="R754" s="30"/>
      <c r="S754" s="30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</row>
    <row r="755" spans="1:48" s="27" customFormat="1" ht="18" customHeight="1">
      <c r="A755" s="12"/>
      <c r="B755" s="97" t="s">
        <v>545</v>
      </c>
      <c r="C755" s="29" t="s">
        <v>546</v>
      </c>
      <c r="D755" s="40"/>
      <c r="E755" s="40"/>
      <c r="F755" s="40"/>
      <c r="G755" s="40">
        <v>1</v>
      </c>
      <c r="H755" s="40">
        <v>1</v>
      </c>
      <c r="I755" s="40">
        <v>1</v>
      </c>
      <c r="J755" s="40">
        <v>1</v>
      </c>
      <c r="K755" s="40">
        <v>1</v>
      </c>
      <c r="L755" s="40">
        <v>1</v>
      </c>
      <c r="M755" s="40" t="s">
        <v>556</v>
      </c>
      <c r="N755" s="40" t="s">
        <v>556</v>
      </c>
      <c r="O755" s="40" t="s">
        <v>556</v>
      </c>
      <c r="P755" s="40" t="s">
        <v>556</v>
      </c>
      <c r="Q755" s="30"/>
      <c r="R755" s="30"/>
      <c r="S755" s="30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</row>
    <row r="756" spans="1:48" s="18" customFormat="1" ht="15.75" customHeight="1">
      <c r="A756" s="50"/>
      <c r="B756" s="93" t="s">
        <v>37</v>
      </c>
      <c r="C756" s="16"/>
      <c r="D756" s="52"/>
      <c r="E756" s="51"/>
      <c r="F756" s="52"/>
      <c r="G756" s="52"/>
      <c r="H756" s="52"/>
      <c r="I756" s="52"/>
      <c r="J756" s="52"/>
      <c r="K756" s="52"/>
      <c r="L756" s="60">
        <v>1</v>
      </c>
      <c r="M756" s="60">
        <v>1</v>
      </c>
      <c r="N756" s="60" t="s">
        <v>556</v>
      </c>
      <c r="O756" s="60" t="s">
        <v>556</v>
      </c>
      <c r="P756" s="60" t="s">
        <v>556</v>
      </c>
      <c r="Q756" s="23"/>
      <c r="R756" s="23"/>
      <c r="S756" s="1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  <c r="AI756" s="47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</row>
    <row r="757" spans="1:48" s="27" customFormat="1" ht="16.5" customHeight="1">
      <c r="A757" s="12"/>
      <c r="B757" s="97" t="s">
        <v>50</v>
      </c>
      <c r="C757" s="15" t="s">
        <v>51</v>
      </c>
      <c r="D757" s="51"/>
      <c r="E757" s="51"/>
      <c r="F757" s="51"/>
      <c r="G757" s="51">
        <v>2</v>
      </c>
      <c r="H757" s="51">
        <v>2</v>
      </c>
      <c r="I757" s="51">
        <v>2</v>
      </c>
      <c r="J757" s="51">
        <v>2</v>
      </c>
      <c r="K757" s="51">
        <v>2</v>
      </c>
      <c r="L757" s="40">
        <v>1</v>
      </c>
      <c r="M757" s="40">
        <v>1</v>
      </c>
      <c r="N757" s="40" t="s">
        <v>556</v>
      </c>
      <c r="O757" s="40" t="s">
        <v>556</v>
      </c>
      <c r="P757" s="40" t="s">
        <v>556</v>
      </c>
      <c r="Q757" s="30"/>
      <c r="R757" s="30"/>
      <c r="S757" s="30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</row>
    <row r="758" spans="1:188" s="57" customFormat="1" ht="19.5" customHeight="1">
      <c r="A758" s="13">
        <v>13</v>
      </c>
      <c r="B758" s="92" t="s">
        <v>199</v>
      </c>
      <c r="C758" s="45"/>
      <c r="D758" s="44">
        <v>391</v>
      </c>
      <c r="E758" s="44">
        <v>52</v>
      </c>
      <c r="F758" s="44"/>
      <c r="G758" s="44">
        <v>391</v>
      </c>
      <c r="H758" s="44">
        <v>391</v>
      </c>
      <c r="I758" s="44">
        <v>391</v>
      </c>
      <c r="J758" s="44">
        <v>391</v>
      </c>
      <c r="K758" s="44">
        <v>391</v>
      </c>
      <c r="L758" s="44">
        <f>L759</f>
        <v>6</v>
      </c>
      <c r="M758" s="44">
        <f>M759</f>
        <v>8</v>
      </c>
      <c r="N758" s="44">
        <v>8</v>
      </c>
      <c r="O758" s="44">
        <f>O759</f>
        <v>11</v>
      </c>
      <c r="P758" s="44">
        <f>P759</f>
        <v>6</v>
      </c>
      <c r="Q758" s="54" t="s">
        <v>648</v>
      </c>
      <c r="R758" s="54">
        <v>1</v>
      </c>
      <c r="S758" s="55" t="s">
        <v>1275</v>
      </c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  <c r="AE758" s="56"/>
      <c r="AF758" s="56"/>
      <c r="AG758" s="56"/>
      <c r="AH758" s="56"/>
      <c r="AI758" s="56"/>
      <c r="AJ758" s="56"/>
      <c r="AK758" s="56"/>
      <c r="AL758" s="56"/>
      <c r="AM758" s="56"/>
      <c r="AN758" s="56"/>
      <c r="AO758" s="56"/>
      <c r="AP758" s="56"/>
      <c r="AQ758" s="56"/>
      <c r="AR758" s="56"/>
      <c r="AS758" s="56"/>
      <c r="AT758" s="56"/>
      <c r="AU758" s="56"/>
      <c r="AV758" s="56"/>
      <c r="AW758" s="56"/>
      <c r="AX758" s="56"/>
      <c r="AY758" s="56"/>
      <c r="AZ758" s="56"/>
      <c r="BA758" s="56"/>
      <c r="BB758" s="56"/>
      <c r="BC758" s="56"/>
      <c r="BD758" s="56"/>
      <c r="BE758" s="56"/>
      <c r="BF758" s="56"/>
      <c r="BG758" s="56"/>
      <c r="BH758" s="56"/>
      <c r="BI758" s="56"/>
      <c r="BJ758" s="56"/>
      <c r="BK758" s="56"/>
      <c r="BL758" s="56"/>
      <c r="BM758" s="56"/>
      <c r="BN758" s="56"/>
      <c r="BO758" s="56"/>
      <c r="BP758" s="56"/>
      <c r="BQ758" s="56"/>
      <c r="BR758" s="56"/>
      <c r="BS758" s="56"/>
      <c r="BT758" s="56"/>
      <c r="BU758" s="56"/>
      <c r="BV758" s="56"/>
      <c r="BW758" s="56"/>
      <c r="BX758" s="56"/>
      <c r="BY758" s="56"/>
      <c r="BZ758" s="56"/>
      <c r="CA758" s="56"/>
      <c r="CB758" s="56"/>
      <c r="CC758" s="56"/>
      <c r="CD758" s="56"/>
      <c r="CE758" s="56"/>
      <c r="CF758" s="56"/>
      <c r="CG758" s="56"/>
      <c r="CH758" s="56"/>
      <c r="CI758" s="56"/>
      <c r="CJ758" s="56"/>
      <c r="CK758" s="56"/>
      <c r="CL758" s="56"/>
      <c r="CM758" s="56"/>
      <c r="CN758" s="56"/>
      <c r="CO758" s="56"/>
      <c r="CP758" s="56"/>
      <c r="CQ758" s="56"/>
      <c r="CR758" s="56"/>
      <c r="CS758" s="56"/>
      <c r="CT758" s="56"/>
      <c r="CU758" s="56"/>
      <c r="CV758" s="56"/>
      <c r="CW758" s="56"/>
      <c r="CX758" s="56"/>
      <c r="CY758" s="56"/>
      <c r="CZ758" s="56"/>
      <c r="DA758" s="56"/>
      <c r="DB758" s="56"/>
      <c r="DC758" s="56"/>
      <c r="DD758" s="56"/>
      <c r="DE758" s="56"/>
      <c r="DF758" s="56"/>
      <c r="DG758" s="56"/>
      <c r="DH758" s="56"/>
      <c r="DI758" s="56"/>
      <c r="DJ758" s="56"/>
      <c r="DK758" s="56"/>
      <c r="DL758" s="56"/>
      <c r="DM758" s="56"/>
      <c r="DN758" s="56"/>
      <c r="DO758" s="56"/>
      <c r="DP758" s="56"/>
      <c r="DQ758" s="56"/>
      <c r="DR758" s="56"/>
      <c r="DS758" s="56"/>
      <c r="DT758" s="56"/>
      <c r="DU758" s="56"/>
      <c r="DV758" s="56"/>
      <c r="DW758" s="56"/>
      <c r="DX758" s="56"/>
      <c r="DY758" s="56"/>
      <c r="DZ758" s="56"/>
      <c r="EA758" s="56"/>
      <c r="EB758" s="56"/>
      <c r="EC758" s="56"/>
      <c r="ED758" s="56"/>
      <c r="EE758" s="56"/>
      <c r="EF758" s="56"/>
      <c r="EG758" s="56"/>
      <c r="EH758" s="56"/>
      <c r="EI758" s="56"/>
      <c r="EJ758" s="56"/>
      <c r="EK758" s="56"/>
      <c r="EL758" s="56"/>
      <c r="EM758" s="56"/>
      <c r="EN758" s="56"/>
      <c r="EO758" s="56"/>
      <c r="EP758" s="56"/>
      <c r="EQ758" s="56"/>
      <c r="ER758" s="56"/>
      <c r="ES758" s="56"/>
      <c r="ET758" s="56"/>
      <c r="EU758" s="56"/>
      <c r="EV758" s="56"/>
      <c r="EW758" s="56"/>
      <c r="EX758" s="56"/>
      <c r="EY758" s="56"/>
      <c r="EZ758" s="56"/>
      <c r="FA758" s="56"/>
      <c r="FB758" s="56"/>
      <c r="FC758" s="56"/>
      <c r="FD758" s="56"/>
      <c r="FE758" s="56"/>
      <c r="FF758" s="56"/>
      <c r="FG758" s="56"/>
      <c r="FH758" s="56"/>
      <c r="FI758" s="56"/>
      <c r="FJ758" s="56"/>
      <c r="FK758" s="56"/>
      <c r="FL758" s="56"/>
      <c r="FM758" s="56"/>
      <c r="FN758" s="56"/>
      <c r="FO758" s="56"/>
      <c r="FP758" s="56"/>
      <c r="FQ758" s="56"/>
      <c r="FR758" s="56"/>
      <c r="FS758" s="56"/>
      <c r="FT758" s="56"/>
      <c r="FU758" s="56"/>
      <c r="FV758" s="56"/>
      <c r="FW758" s="56"/>
      <c r="FX758" s="56"/>
      <c r="FY758" s="56"/>
      <c r="FZ758" s="56"/>
      <c r="GA758" s="56"/>
      <c r="GB758" s="56"/>
      <c r="GC758" s="56"/>
      <c r="GD758" s="56"/>
      <c r="GE758" s="56"/>
      <c r="GF758" s="56"/>
    </row>
    <row r="759" spans="1:48" s="18" customFormat="1" ht="17.25" customHeight="1">
      <c r="A759" s="50"/>
      <c r="B759" s="93" t="s">
        <v>669</v>
      </c>
      <c r="C759" s="16"/>
      <c r="D759" s="52"/>
      <c r="E759" s="52"/>
      <c r="F759" s="52"/>
      <c r="G759" s="52"/>
      <c r="H759" s="52"/>
      <c r="I759" s="52"/>
      <c r="J759" s="52"/>
      <c r="K759" s="52"/>
      <c r="L759" s="60">
        <f>SUM(L760:L764)</f>
        <v>6</v>
      </c>
      <c r="M759" s="60">
        <f>SUM(M760:M764)</f>
        <v>8</v>
      </c>
      <c r="N759" s="60">
        <f>SUM(N760:N764)</f>
        <v>6</v>
      </c>
      <c r="O759" s="60">
        <f>SUM(O760:O764)</f>
        <v>11</v>
      </c>
      <c r="P759" s="60">
        <f>SUM(P760:P764)</f>
        <v>6</v>
      </c>
      <c r="Q759" s="23"/>
      <c r="R759" s="23"/>
      <c r="S759" s="1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  <c r="AI759" s="47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</row>
    <row r="760" spans="1:48" s="27" customFormat="1" ht="15.75" customHeight="1">
      <c r="A760" s="12"/>
      <c r="B760" s="97" t="s">
        <v>1297</v>
      </c>
      <c r="C760" s="29" t="s">
        <v>1298</v>
      </c>
      <c r="D760" s="51"/>
      <c r="E760" s="51"/>
      <c r="F760" s="51"/>
      <c r="G760" s="51">
        <v>150</v>
      </c>
      <c r="H760" s="51">
        <v>150</v>
      </c>
      <c r="I760" s="51">
        <v>150</v>
      </c>
      <c r="J760" s="51">
        <v>150</v>
      </c>
      <c r="K760" s="51">
        <v>150</v>
      </c>
      <c r="L760" s="40">
        <v>3</v>
      </c>
      <c r="M760" s="40">
        <v>4</v>
      </c>
      <c r="N760" s="40">
        <v>1</v>
      </c>
      <c r="O760" s="40">
        <v>8</v>
      </c>
      <c r="P760" s="40">
        <v>1</v>
      </c>
      <c r="Q760" s="33"/>
      <c r="R760" s="28"/>
      <c r="S760" s="2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</row>
    <row r="761" spans="1:48" s="27" customFormat="1" ht="15.75" customHeight="1">
      <c r="A761" s="12"/>
      <c r="B761" s="97" t="s">
        <v>450</v>
      </c>
      <c r="C761" s="29" t="s">
        <v>451</v>
      </c>
      <c r="D761" s="51"/>
      <c r="E761" s="51"/>
      <c r="F761" s="51"/>
      <c r="G761" s="51">
        <v>13</v>
      </c>
      <c r="H761" s="51">
        <v>13</v>
      </c>
      <c r="I761" s="51">
        <v>13</v>
      </c>
      <c r="J761" s="51">
        <v>13</v>
      </c>
      <c r="K761" s="51">
        <v>13</v>
      </c>
      <c r="L761" s="40" t="s">
        <v>556</v>
      </c>
      <c r="M761" s="40" t="s">
        <v>556</v>
      </c>
      <c r="N761" s="40">
        <v>1</v>
      </c>
      <c r="O761" s="40" t="s">
        <v>556</v>
      </c>
      <c r="P761" s="40">
        <v>1</v>
      </c>
      <c r="Q761" s="33"/>
      <c r="R761" s="28"/>
      <c r="S761" s="2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</row>
    <row r="762" spans="1:48" s="27" customFormat="1" ht="15.75" customHeight="1">
      <c r="A762" s="12"/>
      <c r="B762" s="97" t="s">
        <v>52</v>
      </c>
      <c r="C762" s="29" t="s">
        <v>53</v>
      </c>
      <c r="D762" s="51"/>
      <c r="E762" s="51"/>
      <c r="F762" s="51"/>
      <c r="G762" s="51">
        <v>38</v>
      </c>
      <c r="H762" s="51">
        <v>38</v>
      </c>
      <c r="I762" s="51">
        <v>38</v>
      </c>
      <c r="J762" s="51">
        <v>38</v>
      </c>
      <c r="K762" s="51">
        <v>38</v>
      </c>
      <c r="L762" s="40">
        <v>2</v>
      </c>
      <c r="M762" s="40">
        <v>2</v>
      </c>
      <c r="N762" s="40">
        <v>3</v>
      </c>
      <c r="O762" s="40">
        <v>1</v>
      </c>
      <c r="P762" s="40">
        <v>1</v>
      </c>
      <c r="Q762" s="33"/>
      <c r="R762" s="28"/>
      <c r="S762" s="2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</row>
    <row r="763" spans="1:48" s="27" customFormat="1" ht="16.5" customHeight="1">
      <c r="A763" s="12"/>
      <c r="B763" s="97" t="s">
        <v>562</v>
      </c>
      <c r="C763" s="29" t="s">
        <v>563</v>
      </c>
      <c r="D763" s="51"/>
      <c r="E763" s="51"/>
      <c r="F763" s="51"/>
      <c r="G763" s="51">
        <v>7</v>
      </c>
      <c r="H763" s="51">
        <v>7</v>
      </c>
      <c r="I763" s="51">
        <v>7</v>
      </c>
      <c r="J763" s="51">
        <v>7</v>
      </c>
      <c r="K763" s="51">
        <v>7</v>
      </c>
      <c r="L763" s="40" t="s">
        <v>556</v>
      </c>
      <c r="M763" s="40" t="s">
        <v>556</v>
      </c>
      <c r="N763" s="40" t="s">
        <v>556</v>
      </c>
      <c r="O763" s="40">
        <v>2</v>
      </c>
      <c r="P763" s="40">
        <v>2</v>
      </c>
      <c r="Q763" s="33" t="s">
        <v>556</v>
      </c>
      <c r="R763" s="28" t="s">
        <v>556</v>
      </c>
      <c r="S763" s="28" t="s">
        <v>556</v>
      </c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</row>
    <row r="764" spans="1:48" s="27" customFormat="1" ht="15.75" customHeight="1">
      <c r="A764" s="12"/>
      <c r="B764" s="97" t="s">
        <v>560</v>
      </c>
      <c r="C764" s="29" t="s">
        <v>1319</v>
      </c>
      <c r="D764" s="51"/>
      <c r="E764" s="51"/>
      <c r="F764" s="51"/>
      <c r="G764" s="51">
        <v>72</v>
      </c>
      <c r="H764" s="51">
        <v>72</v>
      </c>
      <c r="I764" s="51">
        <v>72</v>
      </c>
      <c r="J764" s="51">
        <v>72</v>
      </c>
      <c r="K764" s="51">
        <v>72</v>
      </c>
      <c r="L764" s="40">
        <v>1</v>
      </c>
      <c r="M764" s="40">
        <v>2</v>
      </c>
      <c r="N764" s="40">
        <v>1</v>
      </c>
      <c r="O764" s="40" t="s">
        <v>556</v>
      </c>
      <c r="P764" s="40">
        <v>1</v>
      </c>
      <c r="Q764" s="33"/>
      <c r="R764" s="28"/>
      <c r="S764" s="2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</row>
    <row r="765" spans="1:48" s="18" customFormat="1" ht="16.5" customHeight="1">
      <c r="A765" s="50"/>
      <c r="B765" s="93" t="s">
        <v>37</v>
      </c>
      <c r="C765" s="16"/>
      <c r="D765" s="52"/>
      <c r="E765" s="51"/>
      <c r="F765" s="52"/>
      <c r="G765" s="52"/>
      <c r="H765" s="52"/>
      <c r="I765" s="52"/>
      <c r="J765" s="52"/>
      <c r="K765" s="52"/>
      <c r="L765" s="60" t="s">
        <v>556</v>
      </c>
      <c r="M765" s="60" t="s">
        <v>556</v>
      </c>
      <c r="N765" s="60">
        <v>2</v>
      </c>
      <c r="O765" s="60" t="s">
        <v>556</v>
      </c>
      <c r="P765" s="60" t="s">
        <v>556</v>
      </c>
      <c r="Q765" s="23"/>
      <c r="R765" s="23"/>
      <c r="S765" s="1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</row>
    <row r="766" spans="1:48" s="27" customFormat="1" ht="16.5" customHeight="1">
      <c r="A766" s="12"/>
      <c r="B766" s="106" t="s">
        <v>1018</v>
      </c>
      <c r="C766" s="66" t="s">
        <v>1019</v>
      </c>
      <c r="D766" s="51"/>
      <c r="E766" s="51"/>
      <c r="F766" s="51"/>
      <c r="G766" s="51">
        <v>1</v>
      </c>
      <c r="H766" s="51">
        <v>1</v>
      </c>
      <c r="I766" s="51">
        <v>1</v>
      </c>
      <c r="J766" s="51">
        <v>1</v>
      </c>
      <c r="K766" s="51">
        <v>1</v>
      </c>
      <c r="L766" s="40" t="s">
        <v>556</v>
      </c>
      <c r="M766" s="40" t="s">
        <v>556</v>
      </c>
      <c r="N766" s="40">
        <v>1</v>
      </c>
      <c r="O766" s="40" t="s">
        <v>556</v>
      </c>
      <c r="P766" s="40" t="s">
        <v>556</v>
      </c>
      <c r="Q766" s="30"/>
      <c r="R766" s="30"/>
      <c r="S766" s="30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</row>
    <row r="767" spans="1:48" s="27" customFormat="1" ht="18" customHeight="1">
      <c r="A767" s="12"/>
      <c r="B767" s="97" t="s">
        <v>40</v>
      </c>
      <c r="C767" s="65" t="s">
        <v>39</v>
      </c>
      <c r="D767" s="51"/>
      <c r="E767" s="51"/>
      <c r="F767" s="51"/>
      <c r="G767" s="51">
        <v>15</v>
      </c>
      <c r="H767" s="51">
        <v>15</v>
      </c>
      <c r="I767" s="51">
        <v>15</v>
      </c>
      <c r="J767" s="51">
        <v>15</v>
      </c>
      <c r="K767" s="51">
        <v>15</v>
      </c>
      <c r="L767" s="40" t="s">
        <v>556</v>
      </c>
      <c r="M767" s="40" t="s">
        <v>556</v>
      </c>
      <c r="N767" s="40">
        <v>1</v>
      </c>
      <c r="O767" s="40" t="s">
        <v>556</v>
      </c>
      <c r="P767" s="40" t="s">
        <v>556</v>
      </c>
      <c r="Q767" s="33"/>
      <c r="R767" s="33"/>
      <c r="S767" s="33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</row>
    <row r="768" spans="1:188" s="57" customFormat="1" ht="20.25" customHeight="1">
      <c r="A768" s="13">
        <v>14</v>
      </c>
      <c r="B768" s="92" t="s">
        <v>49</v>
      </c>
      <c r="C768" s="45"/>
      <c r="D768" s="44">
        <v>401</v>
      </c>
      <c r="E768" s="44">
        <v>13</v>
      </c>
      <c r="F768" s="44"/>
      <c r="G768" s="44">
        <v>401</v>
      </c>
      <c r="H768" s="44">
        <v>403</v>
      </c>
      <c r="I768" s="44">
        <v>404</v>
      </c>
      <c r="J768" s="44">
        <v>407</v>
      </c>
      <c r="K768" s="44">
        <v>409</v>
      </c>
      <c r="L768" s="44" t="s">
        <v>556</v>
      </c>
      <c r="M768" s="44">
        <v>7</v>
      </c>
      <c r="N768" s="44">
        <f>SUM(N769,N776)</f>
        <v>1</v>
      </c>
      <c r="O768" s="44">
        <f>SUM(O769,O776)</f>
        <v>3</v>
      </c>
      <c r="P768" s="44">
        <f>SUM(P769,P776)</f>
        <v>2</v>
      </c>
      <c r="Q768" s="123">
        <f>Q769</f>
        <v>0</v>
      </c>
      <c r="R768" s="44">
        <f>R769</f>
        <v>0</v>
      </c>
      <c r="S768" s="44">
        <f>S769</f>
        <v>0</v>
      </c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  <c r="AG768" s="56"/>
      <c r="AH768" s="56"/>
      <c r="AI768" s="56"/>
      <c r="AJ768" s="56"/>
      <c r="AK768" s="56"/>
      <c r="AL768" s="56"/>
      <c r="AM768" s="56"/>
      <c r="AN768" s="56"/>
      <c r="AO768" s="56"/>
      <c r="AP768" s="56"/>
      <c r="AQ768" s="56"/>
      <c r="AR768" s="56"/>
      <c r="AS768" s="56"/>
      <c r="AT768" s="56"/>
      <c r="AU768" s="56"/>
      <c r="AV768" s="56"/>
      <c r="AW768" s="56"/>
      <c r="AX768" s="56"/>
      <c r="AY768" s="56"/>
      <c r="AZ768" s="56"/>
      <c r="BA768" s="56"/>
      <c r="BB768" s="56"/>
      <c r="BC768" s="56"/>
      <c r="BD768" s="56"/>
      <c r="BE768" s="56"/>
      <c r="BF768" s="56"/>
      <c r="BG768" s="56"/>
      <c r="BH768" s="56"/>
      <c r="BI768" s="56"/>
      <c r="BJ768" s="56"/>
      <c r="BK768" s="56"/>
      <c r="BL768" s="56"/>
      <c r="BM768" s="56"/>
      <c r="BN768" s="56"/>
      <c r="BO768" s="56"/>
      <c r="BP768" s="56"/>
      <c r="BQ768" s="56"/>
      <c r="BR768" s="56"/>
      <c r="BS768" s="56"/>
      <c r="BT768" s="56"/>
      <c r="BU768" s="56"/>
      <c r="BV768" s="56"/>
      <c r="BW768" s="56"/>
      <c r="BX768" s="56"/>
      <c r="BY768" s="56"/>
      <c r="BZ768" s="56"/>
      <c r="CA768" s="56"/>
      <c r="CB768" s="56"/>
      <c r="CC768" s="56"/>
      <c r="CD768" s="56"/>
      <c r="CE768" s="56"/>
      <c r="CF768" s="56"/>
      <c r="CG768" s="56"/>
      <c r="CH768" s="56"/>
      <c r="CI768" s="56"/>
      <c r="CJ768" s="56"/>
      <c r="CK768" s="56"/>
      <c r="CL768" s="56"/>
      <c r="CM768" s="56"/>
      <c r="CN768" s="56"/>
      <c r="CO768" s="56"/>
      <c r="CP768" s="56"/>
      <c r="CQ768" s="56"/>
      <c r="CR768" s="56"/>
      <c r="CS768" s="56"/>
      <c r="CT768" s="56"/>
      <c r="CU768" s="56"/>
      <c r="CV768" s="56"/>
      <c r="CW768" s="56"/>
      <c r="CX768" s="56"/>
      <c r="CY768" s="56"/>
      <c r="CZ768" s="56"/>
      <c r="DA768" s="56"/>
      <c r="DB768" s="56"/>
      <c r="DC768" s="56"/>
      <c r="DD768" s="56"/>
      <c r="DE768" s="56"/>
      <c r="DF768" s="56"/>
      <c r="DG768" s="56"/>
      <c r="DH768" s="56"/>
      <c r="DI768" s="56"/>
      <c r="DJ768" s="56"/>
      <c r="DK768" s="56"/>
      <c r="DL768" s="56"/>
      <c r="DM768" s="56"/>
      <c r="DN768" s="56"/>
      <c r="DO768" s="56"/>
      <c r="DP768" s="56"/>
      <c r="DQ768" s="56"/>
      <c r="DR768" s="56"/>
      <c r="DS768" s="56"/>
      <c r="DT768" s="56"/>
      <c r="DU768" s="56"/>
      <c r="DV768" s="56"/>
      <c r="DW768" s="56"/>
      <c r="DX768" s="56"/>
      <c r="DY768" s="56"/>
      <c r="DZ768" s="56"/>
      <c r="EA768" s="56"/>
      <c r="EB768" s="56"/>
      <c r="EC768" s="56"/>
      <c r="ED768" s="56"/>
      <c r="EE768" s="56"/>
      <c r="EF768" s="56"/>
      <c r="EG768" s="56"/>
      <c r="EH768" s="56"/>
      <c r="EI768" s="56"/>
      <c r="EJ768" s="56"/>
      <c r="EK768" s="56"/>
      <c r="EL768" s="56"/>
      <c r="EM768" s="56"/>
      <c r="EN768" s="56"/>
      <c r="EO768" s="56"/>
      <c r="EP768" s="56"/>
      <c r="EQ768" s="56"/>
      <c r="ER768" s="56"/>
      <c r="ES768" s="56"/>
      <c r="ET768" s="56"/>
      <c r="EU768" s="56"/>
      <c r="EV768" s="56"/>
      <c r="EW768" s="56"/>
      <c r="EX768" s="56"/>
      <c r="EY768" s="56"/>
      <c r="EZ768" s="56"/>
      <c r="FA768" s="56"/>
      <c r="FB768" s="56"/>
      <c r="FC768" s="56"/>
      <c r="FD768" s="56"/>
      <c r="FE768" s="56"/>
      <c r="FF768" s="56"/>
      <c r="FG768" s="56"/>
      <c r="FH768" s="56"/>
      <c r="FI768" s="56"/>
      <c r="FJ768" s="56"/>
      <c r="FK768" s="56"/>
      <c r="FL768" s="56"/>
      <c r="FM768" s="56"/>
      <c r="FN768" s="56"/>
      <c r="FO768" s="56"/>
      <c r="FP768" s="56"/>
      <c r="FQ768" s="56"/>
      <c r="FR768" s="56"/>
      <c r="FS768" s="56"/>
      <c r="FT768" s="56"/>
      <c r="FU768" s="56"/>
      <c r="FV768" s="56"/>
      <c r="FW768" s="56"/>
      <c r="FX768" s="56"/>
      <c r="FY768" s="56"/>
      <c r="FZ768" s="56"/>
      <c r="GA768" s="56"/>
      <c r="GB768" s="56"/>
      <c r="GC768" s="56"/>
      <c r="GD768" s="56"/>
      <c r="GE768" s="56"/>
      <c r="GF768" s="56"/>
    </row>
    <row r="769" spans="1:48" s="18" customFormat="1" ht="17.25" customHeight="1">
      <c r="A769" s="50"/>
      <c r="B769" s="93" t="s">
        <v>669</v>
      </c>
      <c r="C769" s="16"/>
      <c r="D769" s="52"/>
      <c r="E769" s="52"/>
      <c r="F769" s="52"/>
      <c r="G769" s="52"/>
      <c r="H769" s="52"/>
      <c r="I769" s="52"/>
      <c r="J769" s="52"/>
      <c r="K769" s="52"/>
      <c r="L769" s="60" t="s">
        <v>556</v>
      </c>
      <c r="M769" s="60">
        <f>SUM(M770:M773)</f>
        <v>4</v>
      </c>
      <c r="N769" s="60">
        <f>SUM(N770:N773)</f>
        <v>1</v>
      </c>
      <c r="O769" s="60">
        <f>SUM(O770:O773)</f>
        <v>3</v>
      </c>
      <c r="P769" s="60">
        <f>SUM(P770:P773)</f>
        <v>2</v>
      </c>
      <c r="Q769" s="23"/>
      <c r="R769" s="23"/>
      <c r="S769" s="1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</row>
    <row r="770" spans="1:48" s="27" customFormat="1" ht="18" customHeight="1">
      <c r="A770" s="12"/>
      <c r="B770" s="97" t="s">
        <v>460</v>
      </c>
      <c r="C770" s="29" t="s">
        <v>544</v>
      </c>
      <c r="D770" s="51"/>
      <c r="E770" s="51"/>
      <c r="F770" s="51"/>
      <c r="G770" s="51">
        <v>7</v>
      </c>
      <c r="H770" s="51">
        <v>8</v>
      </c>
      <c r="I770" s="51">
        <v>9</v>
      </c>
      <c r="J770" s="51">
        <v>10</v>
      </c>
      <c r="K770" s="51">
        <v>11</v>
      </c>
      <c r="L770" s="40" t="s">
        <v>556</v>
      </c>
      <c r="M770" s="40">
        <v>1</v>
      </c>
      <c r="N770" s="40">
        <v>1</v>
      </c>
      <c r="O770" s="40">
        <v>1</v>
      </c>
      <c r="P770" s="40">
        <v>1</v>
      </c>
      <c r="Q770" s="33"/>
      <c r="R770" s="28"/>
      <c r="S770" s="2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</row>
    <row r="771" spans="1:48" s="27" customFormat="1" ht="19.5" customHeight="1">
      <c r="A771" s="12"/>
      <c r="B771" s="97" t="s">
        <v>446</v>
      </c>
      <c r="C771" s="29" t="s">
        <v>447</v>
      </c>
      <c r="D771" s="51"/>
      <c r="E771" s="51"/>
      <c r="F771" s="51"/>
      <c r="G771" s="51">
        <v>14</v>
      </c>
      <c r="H771" s="51">
        <v>15</v>
      </c>
      <c r="I771" s="51">
        <v>15</v>
      </c>
      <c r="J771" s="51">
        <v>16</v>
      </c>
      <c r="K771" s="51">
        <v>17</v>
      </c>
      <c r="L771" s="40" t="s">
        <v>556</v>
      </c>
      <c r="M771" s="40">
        <v>1</v>
      </c>
      <c r="N771" s="40" t="s">
        <v>556</v>
      </c>
      <c r="O771" s="40">
        <v>1</v>
      </c>
      <c r="P771" s="40">
        <v>1</v>
      </c>
      <c r="Q771" s="33"/>
      <c r="R771" s="33"/>
      <c r="S771" s="33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</row>
    <row r="772" spans="1:48" s="27" customFormat="1" ht="17.25" customHeight="1">
      <c r="A772" s="12"/>
      <c r="B772" s="97" t="s">
        <v>450</v>
      </c>
      <c r="C772" s="29" t="s">
        <v>451</v>
      </c>
      <c r="D772" s="51"/>
      <c r="E772" s="51"/>
      <c r="F772" s="51"/>
      <c r="G772" s="51">
        <v>6</v>
      </c>
      <c r="H772" s="51">
        <v>6</v>
      </c>
      <c r="I772" s="51">
        <v>6</v>
      </c>
      <c r="J772" s="51">
        <v>6</v>
      </c>
      <c r="K772" s="51">
        <v>6</v>
      </c>
      <c r="L772" s="40" t="s">
        <v>556</v>
      </c>
      <c r="M772" s="40">
        <v>2</v>
      </c>
      <c r="N772" s="40" t="s">
        <v>556</v>
      </c>
      <c r="O772" s="40" t="s">
        <v>556</v>
      </c>
      <c r="P772" s="40" t="s">
        <v>556</v>
      </c>
      <c r="Q772" s="33"/>
      <c r="R772" s="33"/>
      <c r="S772" s="33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</row>
    <row r="773" spans="1:48" s="27" customFormat="1" ht="14.25" customHeight="1">
      <c r="A773" s="12"/>
      <c r="B773" s="97" t="s">
        <v>545</v>
      </c>
      <c r="C773" s="29" t="s">
        <v>546</v>
      </c>
      <c r="D773" s="51"/>
      <c r="E773" s="51"/>
      <c r="F773" s="51"/>
      <c r="G773" s="51">
        <v>5</v>
      </c>
      <c r="H773" s="51">
        <v>5</v>
      </c>
      <c r="I773" s="51">
        <v>5</v>
      </c>
      <c r="J773" s="51">
        <v>6</v>
      </c>
      <c r="K773" s="51">
        <v>6</v>
      </c>
      <c r="L773" s="40" t="s">
        <v>556</v>
      </c>
      <c r="M773" s="40" t="s">
        <v>556</v>
      </c>
      <c r="N773" s="40" t="s">
        <v>556</v>
      </c>
      <c r="O773" s="40">
        <v>1</v>
      </c>
      <c r="P773" s="40" t="s">
        <v>556</v>
      </c>
      <c r="Q773" s="33"/>
      <c r="R773" s="33"/>
      <c r="S773" s="33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</row>
    <row r="774" spans="1:48" s="18" customFormat="1" ht="15.75" customHeight="1">
      <c r="A774" s="50"/>
      <c r="B774" s="93" t="s">
        <v>670</v>
      </c>
      <c r="C774" s="16"/>
      <c r="D774" s="52"/>
      <c r="E774" s="51"/>
      <c r="F774" s="52"/>
      <c r="G774" s="52"/>
      <c r="H774" s="52"/>
      <c r="I774" s="52"/>
      <c r="J774" s="52"/>
      <c r="K774" s="52"/>
      <c r="L774" s="60" t="str">
        <f>L775</f>
        <v> -</v>
      </c>
      <c r="M774" s="60">
        <f>M775</f>
        <v>2</v>
      </c>
      <c r="N774" s="60" t="str">
        <f>N775</f>
        <v> -</v>
      </c>
      <c r="O774" s="60" t="str">
        <f>O775</f>
        <v> -</v>
      </c>
      <c r="P774" s="60" t="s">
        <v>556</v>
      </c>
      <c r="Q774" s="23"/>
      <c r="R774" s="23"/>
      <c r="S774" s="1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7"/>
      <c r="AI774" s="47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</row>
    <row r="775" spans="1:48" s="27" customFormat="1" ht="17.25" customHeight="1">
      <c r="A775" s="12"/>
      <c r="B775" s="97" t="s">
        <v>6</v>
      </c>
      <c r="C775" s="15" t="s">
        <v>7</v>
      </c>
      <c r="D775" s="51"/>
      <c r="E775" s="51"/>
      <c r="F775" s="51" t="s">
        <v>556</v>
      </c>
      <c r="G775" s="51">
        <v>2</v>
      </c>
      <c r="H775" s="51">
        <v>2</v>
      </c>
      <c r="I775" s="51">
        <v>2</v>
      </c>
      <c r="J775" s="51">
        <v>2</v>
      </c>
      <c r="K775" s="51">
        <v>2</v>
      </c>
      <c r="L775" s="40" t="s">
        <v>556</v>
      </c>
      <c r="M775" s="40">
        <v>2</v>
      </c>
      <c r="N775" s="40" t="s">
        <v>556</v>
      </c>
      <c r="O775" s="40" t="s">
        <v>556</v>
      </c>
      <c r="P775" s="40" t="s">
        <v>556</v>
      </c>
      <c r="Q775" s="30"/>
      <c r="R775" s="30"/>
      <c r="S775" s="30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</row>
    <row r="776" spans="1:48" s="18" customFormat="1" ht="17.25" customHeight="1">
      <c r="A776" s="50"/>
      <c r="B776" s="93" t="s">
        <v>37</v>
      </c>
      <c r="C776" s="16"/>
      <c r="D776" s="52"/>
      <c r="E776" s="51"/>
      <c r="F776" s="52"/>
      <c r="G776" s="52"/>
      <c r="H776" s="52"/>
      <c r="I776" s="52"/>
      <c r="J776" s="52"/>
      <c r="K776" s="52"/>
      <c r="L776" s="60" t="s">
        <v>556</v>
      </c>
      <c r="M776" s="60">
        <f>SUM(M777:M777)</f>
        <v>1</v>
      </c>
      <c r="N776" s="60" t="s">
        <v>556</v>
      </c>
      <c r="O776" s="60" t="s">
        <v>556</v>
      </c>
      <c r="P776" s="60" t="s">
        <v>556</v>
      </c>
      <c r="Q776" s="23"/>
      <c r="R776" s="23"/>
      <c r="S776" s="1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  <c r="AI776" s="47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</row>
    <row r="777" spans="1:48" s="27" customFormat="1" ht="17.25" customHeight="1">
      <c r="A777" s="12"/>
      <c r="B777" s="97" t="s">
        <v>860</v>
      </c>
      <c r="C777" s="15" t="s">
        <v>861</v>
      </c>
      <c r="D777" s="51"/>
      <c r="E777" s="51"/>
      <c r="F777" s="51"/>
      <c r="G777" s="51">
        <v>1</v>
      </c>
      <c r="H777" s="51">
        <v>1</v>
      </c>
      <c r="I777" s="51">
        <v>1</v>
      </c>
      <c r="J777" s="51">
        <v>1</v>
      </c>
      <c r="K777" s="51">
        <v>1</v>
      </c>
      <c r="L777" s="40" t="s">
        <v>556</v>
      </c>
      <c r="M777" s="40">
        <v>1</v>
      </c>
      <c r="N777" s="40" t="s">
        <v>556</v>
      </c>
      <c r="O777" s="40" t="s">
        <v>556</v>
      </c>
      <c r="P777" s="40" t="s">
        <v>556</v>
      </c>
      <c r="Q777" s="33"/>
      <c r="R777" s="33"/>
      <c r="S777" s="33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</row>
    <row r="778" spans="1:188" s="57" customFormat="1" ht="17.25" customHeight="1">
      <c r="A778" s="13">
        <v>15</v>
      </c>
      <c r="B778" s="92" t="s">
        <v>48</v>
      </c>
      <c r="C778" s="45"/>
      <c r="D778" s="44">
        <v>325</v>
      </c>
      <c r="E778" s="44">
        <v>36</v>
      </c>
      <c r="F778" s="44"/>
      <c r="G778" s="44">
        <v>337</v>
      </c>
      <c r="H778" s="44">
        <v>337</v>
      </c>
      <c r="I778" s="44">
        <v>337</v>
      </c>
      <c r="J778" s="44">
        <v>337</v>
      </c>
      <c r="K778" s="44">
        <v>337</v>
      </c>
      <c r="L778" s="44">
        <f>SUM(L779,L788)</f>
        <v>14</v>
      </c>
      <c r="M778" s="44">
        <f>SUM(M779,M788)</f>
        <v>12</v>
      </c>
      <c r="N778" s="44">
        <f>SUM(N779,N788)</f>
        <v>11</v>
      </c>
      <c r="O778" s="44">
        <f>SUM(O779,O788)</f>
        <v>6</v>
      </c>
      <c r="P778" s="44">
        <f>SUM(P779,P788)</f>
        <v>4</v>
      </c>
      <c r="Q778" s="123">
        <f>Q779</f>
        <v>0</v>
      </c>
      <c r="R778" s="44">
        <f>R779</f>
        <v>0</v>
      </c>
      <c r="S778" s="44">
        <f>S779</f>
        <v>0</v>
      </c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  <c r="AF778" s="56"/>
      <c r="AG778" s="56"/>
      <c r="AH778" s="56"/>
      <c r="AI778" s="56"/>
      <c r="AJ778" s="56"/>
      <c r="AK778" s="56"/>
      <c r="AL778" s="56"/>
      <c r="AM778" s="56"/>
      <c r="AN778" s="56"/>
      <c r="AO778" s="56"/>
      <c r="AP778" s="56"/>
      <c r="AQ778" s="56"/>
      <c r="AR778" s="56"/>
      <c r="AS778" s="56"/>
      <c r="AT778" s="56"/>
      <c r="AU778" s="56"/>
      <c r="AV778" s="56"/>
      <c r="AW778" s="56"/>
      <c r="AX778" s="56"/>
      <c r="AY778" s="56"/>
      <c r="AZ778" s="56"/>
      <c r="BA778" s="56"/>
      <c r="BB778" s="56"/>
      <c r="BC778" s="56"/>
      <c r="BD778" s="56"/>
      <c r="BE778" s="56"/>
      <c r="BF778" s="56"/>
      <c r="BG778" s="56"/>
      <c r="BH778" s="56"/>
      <c r="BI778" s="56"/>
      <c r="BJ778" s="56"/>
      <c r="BK778" s="56"/>
      <c r="BL778" s="56"/>
      <c r="BM778" s="56"/>
      <c r="BN778" s="56"/>
      <c r="BO778" s="56"/>
      <c r="BP778" s="56"/>
      <c r="BQ778" s="56"/>
      <c r="BR778" s="56"/>
      <c r="BS778" s="56"/>
      <c r="BT778" s="56"/>
      <c r="BU778" s="56"/>
      <c r="BV778" s="56"/>
      <c r="BW778" s="56"/>
      <c r="BX778" s="56"/>
      <c r="BY778" s="56"/>
      <c r="BZ778" s="56"/>
      <c r="CA778" s="56"/>
      <c r="CB778" s="56"/>
      <c r="CC778" s="56"/>
      <c r="CD778" s="56"/>
      <c r="CE778" s="56"/>
      <c r="CF778" s="56"/>
      <c r="CG778" s="56"/>
      <c r="CH778" s="56"/>
      <c r="CI778" s="56"/>
      <c r="CJ778" s="56"/>
      <c r="CK778" s="56"/>
      <c r="CL778" s="56"/>
      <c r="CM778" s="56"/>
      <c r="CN778" s="56"/>
      <c r="CO778" s="56"/>
      <c r="CP778" s="56"/>
      <c r="CQ778" s="56"/>
      <c r="CR778" s="56"/>
      <c r="CS778" s="56"/>
      <c r="CT778" s="56"/>
      <c r="CU778" s="56"/>
      <c r="CV778" s="56"/>
      <c r="CW778" s="56"/>
      <c r="CX778" s="56"/>
      <c r="CY778" s="56"/>
      <c r="CZ778" s="56"/>
      <c r="DA778" s="56"/>
      <c r="DB778" s="56"/>
      <c r="DC778" s="56"/>
      <c r="DD778" s="56"/>
      <c r="DE778" s="56"/>
      <c r="DF778" s="56"/>
      <c r="DG778" s="56"/>
      <c r="DH778" s="56"/>
      <c r="DI778" s="56"/>
      <c r="DJ778" s="56"/>
      <c r="DK778" s="56"/>
      <c r="DL778" s="56"/>
      <c r="DM778" s="56"/>
      <c r="DN778" s="56"/>
      <c r="DO778" s="56"/>
      <c r="DP778" s="56"/>
      <c r="DQ778" s="56"/>
      <c r="DR778" s="56"/>
      <c r="DS778" s="56"/>
      <c r="DT778" s="56"/>
      <c r="DU778" s="56"/>
      <c r="DV778" s="56"/>
      <c r="DW778" s="56"/>
      <c r="DX778" s="56"/>
      <c r="DY778" s="56"/>
      <c r="DZ778" s="56"/>
      <c r="EA778" s="56"/>
      <c r="EB778" s="56"/>
      <c r="EC778" s="56"/>
      <c r="ED778" s="56"/>
      <c r="EE778" s="56"/>
      <c r="EF778" s="56"/>
      <c r="EG778" s="56"/>
      <c r="EH778" s="56"/>
      <c r="EI778" s="56"/>
      <c r="EJ778" s="56"/>
      <c r="EK778" s="56"/>
      <c r="EL778" s="56"/>
      <c r="EM778" s="56"/>
      <c r="EN778" s="56"/>
      <c r="EO778" s="56"/>
      <c r="EP778" s="56"/>
      <c r="EQ778" s="56"/>
      <c r="ER778" s="56"/>
      <c r="ES778" s="56"/>
      <c r="ET778" s="56"/>
      <c r="EU778" s="56"/>
      <c r="EV778" s="56"/>
      <c r="EW778" s="56"/>
      <c r="EX778" s="56"/>
      <c r="EY778" s="56"/>
      <c r="EZ778" s="56"/>
      <c r="FA778" s="56"/>
      <c r="FB778" s="56"/>
      <c r="FC778" s="56"/>
      <c r="FD778" s="56"/>
      <c r="FE778" s="56"/>
      <c r="FF778" s="56"/>
      <c r="FG778" s="56"/>
      <c r="FH778" s="56"/>
      <c r="FI778" s="56"/>
      <c r="FJ778" s="56"/>
      <c r="FK778" s="56"/>
      <c r="FL778" s="56"/>
      <c r="FM778" s="56"/>
      <c r="FN778" s="56"/>
      <c r="FO778" s="56"/>
      <c r="FP778" s="56"/>
      <c r="FQ778" s="56"/>
      <c r="FR778" s="56"/>
      <c r="FS778" s="56"/>
      <c r="FT778" s="56"/>
      <c r="FU778" s="56"/>
      <c r="FV778" s="56"/>
      <c r="FW778" s="56"/>
      <c r="FX778" s="56"/>
      <c r="FY778" s="56"/>
      <c r="FZ778" s="56"/>
      <c r="GA778" s="56"/>
      <c r="GB778" s="56"/>
      <c r="GC778" s="56"/>
      <c r="GD778" s="56"/>
      <c r="GE778" s="56"/>
      <c r="GF778" s="56"/>
    </row>
    <row r="779" spans="1:48" s="18" customFormat="1" ht="17.25" customHeight="1">
      <c r="A779" s="50"/>
      <c r="B779" s="93" t="s">
        <v>669</v>
      </c>
      <c r="C779" s="16"/>
      <c r="D779" s="52"/>
      <c r="E779" s="52"/>
      <c r="F779" s="52"/>
      <c r="G779" s="52"/>
      <c r="H779" s="52"/>
      <c r="I779" s="52"/>
      <c r="J779" s="52"/>
      <c r="K779" s="52"/>
      <c r="L779" s="60">
        <f>SUM(L780:L787)</f>
        <v>14</v>
      </c>
      <c r="M779" s="60">
        <f>SUM(M780:M787)</f>
        <v>11</v>
      </c>
      <c r="N779" s="60">
        <f>SUM(N780:N787)</f>
        <v>10</v>
      </c>
      <c r="O779" s="60">
        <f>SUM(O780:O787)</f>
        <v>6</v>
      </c>
      <c r="P779" s="60">
        <f>SUM(P780:P787)</f>
        <v>4</v>
      </c>
      <c r="Q779" s="23"/>
      <c r="R779" s="23"/>
      <c r="S779" s="1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</row>
    <row r="780" spans="1:48" s="27" customFormat="1" ht="17.25" customHeight="1">
      <c r="A780" s="12"/>
      <c r="B780" s="97" t="s">
        <v>545</v>
      </c>
      <c r="C780" s="29" t="s">
        <v>546</v>
      </c>
      <c r="D780" s="51"/>
      <c r="E780" s="51"/>
      <c r="F780" s="51"/>
      <c r="G780" s="51">
        <v>20</v>
      </c>
      <c r="H780" s="51">
        <v>20</v>
      </c>
      <c r="I780" s="51">
        <v>20</v>
      </c>
      <c r="J780" s="51">
        <v>20</v>
      </c>
      <c r="K780" s="51">
        <v>20</v>
      </c>
      <c r="L780" s="40">
        <v>1</v>
      </c>
      <c r="M780" s="40">
        <v>2</v>
      </c>
      <c r="N780" s="40">
        <v>2</v>
      </c>
      <c r="O780" s="40" t="s">
        <v>556</v>
      </c>
      <c r="P780" s="40" t="s">
        <v>556</v>
      </c>
      <c r="Q780" s="33"/>
      <c r="R780" s="28"/>
      <c r="S780" s="2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</row>
    <row r="781" spans="1:48" s="27" customFormat="1" ht="17.25" customHeight="1">
      <c r="A781" s="12"/>
      <c r="B781" s="97" t="s">
        <v>448</v>
      </c>
      <c r="C781" s="29" t="s">
        <v>449</v>
      </c>
      <c r="D781" s="51"/>
      <c r="E781" s="51"/>
      <c r="F781" s="51"/>
      <c r="G781" s="51">
        <v>4</v>
      </c>
      <c r="H781" s="51">
        <v>4</v>
      </c>
      <c r="I781" s="51">
        <v>4</v>
      </c>
      <c r="J781" s="51">
        <v>4</v>
      </c>
      <c r="K781" s="51">
        <v>4</v>
      </c>
      <c r="L781" s="40">
        <v>1</v>
      </c>
      <c r="M781" s="40">
        <v>3</v>
      </c>
      <c r="N781" s="40" t="s">
        <v>556</v>
      </c>
      <c r="O781" s="40" t="s">
        <v>556</v>
      </c>
      <c r="P781" s="40" t="s">
        <v>556</v>
      </c>
      <c r="Q781" s="33"/>
      <c r="R781" s="33"/>
      <c r="S781" s="33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</row>
    <row r="782" spans="1:48" s="27" customFormat="1" ht="17.25" customHeight="1">
      <c r="A782" s="12"/>
      <c r="B782" s="97" t="s">
        <v>1292</v>
      </c>
      <c r="C782" s="29" t="s">
        <v>1293</v>
      </c>
      <c r="D782" s="51"/>
      <c r="E782" s="51"/>
      <c r="F782" s="51"/>
      <c r="G782" s="51">
        <v>1</v>
      </c>
      <c r="H782" s="51">
        <v>1</v>
      </c>
      <c r="I782" s="51">
        <v>1</v>
      </c>
      <c r="J782" s="51">
        <v>1</v>
      </c>
      <c r="K782" s="51">
        <v>1</v>
      </c>
      <c r="L782" s="40" t="s">
        <v>556</v>
      </c>
      <c r="M782" s="40" t="s">
        <v>556</v>
      </c>
      <c r="N782" s="40">
        <v>1</v>
      </c>
      <c r="O782" s="40" t="s">
        <v>556</v>
      </c>
      <c r="P782" s="40" t="s">
        <v>556</v>
      </c>
      <c r="Q782" s="33"/>
      <c r="R782" s="33"/>
      <c r="S782" s="33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</row>
    <row r="783" spans="1:48" s="27" customFormat="1" ht="17.25" customHeight="1">
      <c r="A783" s="12"/>
      <c r="B783" s="97" t="s">
        <v>599</v>
      </c>
      <c r="C783" s="15" t="s">
        <v>600</v>
      </c>
      <c r="D783" s="51"/>
      <c r="E783" s="51"/>
      <c r="F783" s="51"/>
      <c r="G783" s="51">
        <v>2</v>
      </c>
      <c r="H783" s="51">
        <v>2</v>
      </c>
      <c r="I783" s="51">
        <v>2</v>
      </c>
      <c r="J783" s="51">
        <v>2</v>
      </c>
      <c r="K783" s="51">
        <v>2</v>
      </c>
      <c r="L783" s="40" t="s">
        <v>556</v>
      </c>
      <c r="M783" s="40" t="s">
        <v>556</v>
      </c>
      <c r="N783" s="40" t="s">
        <v>556</v>
      </c>
      <c r="O783" s="40">
        <v>1</v>
      </c>
      <c r="P783" s="40" t="s">
        <v>556</v>
      </c>
      <c r="Q783" s="33"/>
      <c r="R783" s="33"/>
      <c r="S783" s="33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</row>
    <row r="784" spans="1:48" s="27" customFormat="1" ht="17.25" customHeight="1">
      <c r="A784" s="12"/>
      <c r="B784" s="97" t="s">
        <v>560</v>
      </c>
      <c r="C784" s="29" t="s">
        <v>1319</v>
      </c>
      <c r="D784" s="51"/>
      <c r="E784" s="51"/>
      <c r="F784" s="51"/>
      <c r="G784" s="51">
        <v>4</v>
      </c>
      <c r="H784" s="51">
        <v>4</v>
      </c>
      <c r="I784" s="51">
        <v>4</v>
      </c>
      <c r="J784" s="51">
        <v>4</v>
      </c>
      <c r="K784" s="51">
        <v>4</v>
      </c>
      <c r="L784" s="40" t="s">
        <v>556</v>
      </c>
      <c r="M784" s="40">
        <v>1</v>
      </c>
      <c r="N784" s="40" t="s">
        <v>556</v>
      </c>
      <c r="O784" s="40" t="s">
        <v>556</v>
      </c>
      <c r="P784" s="40" t="s">
        <v>556</v>
      </c>
      <c r="Q784" s="33"/>
      <c r="R784" s="33"/>
      <c r="S784" s="33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</row>
    <row r="785" spans="1:48" s="27" customFormat="1" ht="17.25" customHeight="1">
      <c r="A785" s="12"/>
      <c r="B785" s="97" t="s">
        <v>797</v>
      </c>
      <c r="C785" s="29" t="s">
        <v>798</v>
      </c>
      <c r="D785" s="51"/>
      <c r="E785" s="51"/>
      <c r="F785" s="51"/>
      <c r="G785" s="51">
        <v>13</v>
      </c>
      <c r="H785" s="51">
        <v>13</v>
      </c>
      <c r="I785" s="51">
        <v>13</v>
      </c>
      <c r="J785" s="51">
        <v>13</v>
      </c>
      <c r="K785" s="51">
        <v>13</v>
      </c>
      <c r="L785" s="40">
        <v>1</v>
      </c>
      <c r="M785" s="40">
        <v>1</v>
      </c>
      <c r="N785" s="40">
        <v>1</v>
      </c>
      <c r="O785" s="40">
        <v>1</v>
      </c>
      <c r="P785" s="40">
        <v>1</v>
      </c>
      <c r="Q785" s="33"/>
      <c r="R785" s="33"/>
      <c r="S785" s="33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</row>
    <row r="786" spans="1:48" s="27" customFormat="1" ht="16.5" customHeight="1">
      <c r="A786" s="12"/>
      <c r="B786" s="97" t="s">
        <v>632</v>
      </c>
      <c r="C786" s="29" t="s">
        <v>633</v>
      </c>
      <c r="D786" s="51"/>
      <c r="E786" s="51"/>
      <c r="F786" s="51"/>
      <c r="G786" s="51">
        <v>24</v>
      </c>
      <c r="H786" s="51">
        <v>24</v>
      </c>
      <c r="I786" s="51">
        <v>24</v>
      </c>
      <c r="J786" s="51">
        <v>24</v>
      </c>
      <c r="K786" s="51">
        <v>24</v>
      </c>
      <c r="L786" s="40">
        <v>1</v>
      </c>
      <c r="M786" s="40">
        <v>2</v>
      </c>
      <c r="N786" s="40">
        <v>2</v>
      </c>
      <c r="O786" s="40">
        <v>2</v>
      </c>
      <c r="P786" s="40">
        <v>2</v>
      </c>
      <c r="Q786" s="33"/>
      <c r="R786" s="33"/>
      <c r="S786" s="33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</row>
    <row r="787" spans="1:48" s="27" customFormat="1" ht="16.5" customHeight="1">
      <c r="A787" s="12"/>
      <c r="B787" s="97" t="s">
        <v>1297</v>
      </c>
      <c r="C787" s="29" t="s">
        <v>1298</v>
      </c>
      <c r="D787" s="51"/>
      <c r="E787" s="51"/>
      <c r="F787" s="51"/>
      <c r="G787" s="51">
        <v>83</v>
      </c>
      <c r="H787" s="51">
        <v>83</v>
      </c>
      <c r="I787" s="51">
        <v>83</v>
      </c>
      <c r="J787" s="51">
        <v>83</v>
      </c>
      <c r="K787" s="51">
        <v>83</v>
      </c>
      <c r="L787" s="40">
        <v>10</v>
      </c>
      <c r="M787" s="40">
        <v>2</v>
      </c>
      <c r="N787" s="40">
        <v>4</v>
      </c>
      <c r="O787" s="40">
        <v>2</v>
      </c>
      <c r="P787" s="40">
        <v>1</v>
      </c>
      <c r="Q787" s="33"/>
      <c r="R787" s="33"/>
      <c r="S787" s="33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</row>
    <row r="788" spans="1:48" s="18" customFormat="1" ht="16.5" customHeight="1">
      <c r="A788" s="50"/>
      <c r="B788" s="93" t="s">
        <v>37</v>
      </c>
      <c r="C788" s="16"/>
      <c r="D788" s="52"/>
      <c r="E788" s="51"/>
      <c r="F788" s="52"/>
      <c r="G788" s="52"/>
      <c r="H788" s="52"/>
      <c r="I788" s="52"/>
      <c r="J788" s="52"/>
      <c r="K788" s="52"/>
      <c r="L788" s="60" t="s">
        <v>556</v>
      </c>
      <c r="M788" s="60">
        <f>SUM(M789:M790)</f>
        <v>1</v>
      </c>
      <c r="N788" s="60">
        <v>1</v>
      </c>
      <c r="O788" s="60" t="s">
        <v>556</v>
      </c>
      <c r="P788" s="60" t="s">
        <v>556</v>
      </c>
      <c r="Q788" s="23"/>
      <c r="R788" s="23"/>
      <c r="S788" s="1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7"/>
      <c r="AI788" s="47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47"/>
    </row>
    <row r="789" spans="1:48" s="27" customFormat="1" ht="16.5" customHeight="1">
      <c r="A789" s="12"/>
      <c r="B789" s="97" t="s">
        <v>860</v>
      </c>
      <c r="C789" s="15" t="s">
        <v>861</v>
      </c>
      <c r="D789" s="51"/>
      <c r="E789" s="51"/>
      <c r="F789" s="51"/>
      <c r="G789" s="51">
        <v>1</v>
      </c>
      <c r="H789" s="51">
        <v>1</v>
      </c>
      <c r="I789" s="51">
        <v>1</v>
      </c>
      <c r="J789" s="51">
        <v>1</v>
      </c>
      <c r="K789" s="51">
        <v>1</v>
      </c>
      <c r="L789" s="40" t="s">
        <v>556</v>
      </c>
      <c r="M789" s="40">
        <v>1</v>
      </c>
      <c r="N789" s="40" t="s">
        <v>556</v>
      </c>
      <c r="O789" s="40" t="s">
        <v>556</v>
      </c>
      <c r="P789" s="40" t="s">
        <v>556</v>
      </c>
      <c r="Q789" s="33"/>
      <c r="R789" s="33"/>
      <c r="S789" s="33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</row>
    <row r="790" spans="1:48" s="27" customFormat="1" ht="16.5" customHeight="1">
      <c r="A790" s="12"/>
      <c r="B790" s="97" t="s">
        <v>808</v>
      </c>
      <c r="C790" s="29" t="s">
        <v>809</v>
      </c>
      <c r="D790" s="51"/>
      <c r="E790" s="51"/>
      <c r="F790" s="51"/>
      <c r="G790" s="51">
        <v>1</v>
      </c>
      <c r="H790" s="51">
        <v>1</v>
      </c>
      <c r="I790" s="51">
        <v>1</v>
      </c>
      <c r="J790" s="51">
        <v>1</v>
      </c>
      <c r="K790" s="51">
        <v>1</v>
      </c>
      <c r="L790" s="40" t="s">
        <v>556</v>
      </c>
      <c r="M790" s="40" t="s">
        <v>556</v>
      </c>
      <c r="N790" s="40">
        <v>1</v>
      </c>
      <c r="O790" s="40" t="s">
        <v>556</v>
      </c>
      <c r="P790" s="40" t="s">
        <v>556</v>
      </c>
      <c r="Q790" s="33"/>
      <c r="R790" s="33"/>
      <c r="S790" s="33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</row>
    <row r="791" spans="1:188" s="57" customFormat="1" ht="16.5" customHeight="1">
      <c r="A791" s="13">
        <v>16</v>
      </c>
      <c r="B791" s="92" t="s">
        <v>200</v>
      </c>
      <c r="C791" s="45"/>
      <c r="D791" s="44">
        <v>162</v>
      </c>
      <c r="E791" s="44">
        <v>48</v>
      </c>
      <c r="F791" s="44"/>
      <c r="G791" s="44">
        <v>162</v>
      </c>
      <c r="H791" s="44">
        <v>162</v>
      </c>
      <c r="I791" s="44">
        <v>162</v>
      </c>
      <c r="J791" s="44">
        <v>162</v>
      </c>
      <c r="K791" s="44">
        <v>162</v>
      </c>
      <c r="L791" s="44">
        <f>SUM(L792,L802)</f>
        <v>5</v>
      </c>
      <c r="M791" s="44">
        <f>SUM(M792,M802)</f>
        <v>9</v>
      </c>
      <c r="N791" s="44">
        <f>SUM(N792,N802)</f>
        <v>6</v>
      </c>
      <c r="O791" s="44">
        <f>SUM(O792,O802)</f>
        <v>3</v>
      </c>
      <c r="P791" s="44">
        <f>SUM(P792,P802)</f>
        <v>3</v>
      </c>
      <c r="Q791" s="123">
        <f>Q792</f>
        <v>0</v>
      </c>
      <c r="R791" s="44">
        <f>R792</f>
        <v>0</v>
      </c>
      <c r="S791" s="44">
        <f>S792</f>
        <v>0</v>
      </c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  <c r="AF791" s="56"/>
      <c r="AG791" s="56"/>
      <c r="AH791" s="56"/>
      <c r="AI791" s="56"/>
      <c r="AJ791" s="56"/>
      <c r="AK791" s="56"/>
      <c r="AL791" s="56"/>
      <c r="AM791" s="56"/>
      <c r="AN791" s="56"/>
      <c r="AO791" s="56"/>
      <c r="AP791" s="56"/>
      <c r="AQ791" s="56"/>
      <c r="AR791" s="56"/>
      <c r="AS791" s="56"/>
      <c r="AT791" s="56"/>
      <c r="AU791" s="56"/>
      <c r="AV791" s="56"/>
      <c r="AW791" s="56"/>
      <c r="AX791" s="56"/>
      <c r="AY791" s="56"/>
      <c r="AZ791" s="56"/>
      <c r="BA791" s="56"/>
      <c r="BB791" s="56"/>
      <c r="BC791" s="56"/>
      <c r="BD791" s="56"/>
      <c r="BE791" s="56"/>
      <c r="BF791" s="56"/>
      <c r="BG791" s="56"/>
      <c r="BH791" s="56"/>
      <c r="BI791" s="56"/>
      <c r="BJ791" s="56"/>
      <c r="BK791" s="56"/>
      <c r="BL791" s="56"/>
      <c r="BM791" s="56"/>
      <c r="BN791" s="56"/>
      <c r="BO791" s="56"/>
      <c r="BP791" s="56"/>
      <c r="BQ791" s="56"/>
      <c r="BR791" s="56"/>
      <c r="BS791" s="56"/>
      <c r="BT791" s="56"/>
      <c r="BU791" s="56"/>
      <c r="BV791" s="56"/>
      <c r="BW791" s="56"/>
      <c r="BX791" s="56"/>
      <c r="BY791" s="56"/>
      <c r="BZ791" s="56"/>
      <c r="CA791" s="56"/>
      <c r="CB791" s="56"/>
      <c r="CC791" s="56"/>
      <c r="CD791" s="56"/>
      <c r="CE791" s="56"/>
      <c r="CF791" s="56"/>
      <c r="CG791" s="56"/>
      <c r="CH791" s="56"/>
      <c r="CI791" s="56"/>
      <c r="CJ791" s="56"/>
      <c r="CK791" s="56"/>
      <c r="CL791" s="56"/>
      <c r="CM791" s="56"/>
      <c r="CN791" s="56"/>
      <c r="CO791" s="56"/>
      <c r="CP791" s="56"/>
      <c r="CQ791" s="56"/>
      <c r="CR791" s="56"/>
      <c r="CS791" s="56"/>
      <c r="CT791" s="56"/>
      <c r="CU791" s="56"/>
      <c r="CV791" s="56"/>
      <c r="CW791" s="56"/>
      <c r="CX791" s="56"/>
      <c r="CY791" s="56"/>
      <c r="CZ791" s="56"/>
      <c r="DA791" s="56"/>
      <c r="DB791" s="56"/>
      <c r="DC791" s="56"/>
      <c r="DD791" s="56"/>
      <c r="DE791" s="56"/>
      <c r="DF791" s="56"/>
      <c r="DG791" s="56"/>
      <c r="DH791" s="56"/>
      <c r="DI791" s="56"/>
      <c r="DJ791" s="56"/>
      <c r="DK791" s="56"/>
      <c r="DL791" s="56"/>
      <c r="DM791" s="56"/>
      <c r="DN791" s="56"/>
      <c r="DO791" s="56"/>
      <c r="DP791" s="56"/>
      <c r="DQ791" s="56"/>
      <c r="DR791" s="56"/>
      <c r="DS791" s="56"/>
      <c r="DT791" s="56"/>
      <c r="DU791" s="56"/>
      <c r="DV791" s="56"/>
      <c r="DW791" s="56"/>
      <c r="DX791" s="56"/>
      <c r="DY791" s="56"/>
      <c r="DZ791" s="56"/>
      <c r="EA791" s="56"/>
      <c r="EB791" s="56"/>
      <c r="EC791" s="56"/>
      <c r="ED791" s="56"/>
      <c r="EE791" s="56"/>
      <c r="EF791" s="56"/>
      <c r="EG791" s="56"/>
      <c r="EH791" s="56"/>
      <c r="EI791" s="56"/>
      <c r="EJ791" s="56"/>
      <c r="EK791" s="56"/>
      <c r="EL791" s="56"/>
      <c r="EM791" s="56"/>
      <c r="EN791" s="56"/>
      <c r="EO791" s="56"/>
      <c r="EP791" s="56"/>
      <c r="EQ791" s="56"/>
      <c r="ER791" s="56"/>
      <c r="ES791" s="56"/>
      <c r="ET791" s="56"/>
      <c r="EU791" s="56"/>
      <c r="EV791" s="56"/>
      <c r="EW791" s="56"/>
      <c r="EX791" s="56"/>
      <c r="EY791" s="56"/>
      <c r="EZ791" s="56"/>
      <c r="FA791" s="56"/>
      <c r="FB791" s="56"/>
      <c r="FC791" s="56"/>
      <c r="FD791" s="56"/>
      <c r="FE791" s="56"/>
      <c r="FF791" s="56"/>
      <c r="FG791" s="56"/>
      <c r="FH791" s="56"/>
      <c r="FI791" s="56"/>
      <c r="FJ791" s="56"/>
      <c r="FK791" s="56"/>
      <c r="FL791" s="56"/>
      <c r="FM791" s="56"/>
      <c r="FN791" s="56"/>
      <c r="FO791" s="56"/>
      <c r="FP791" s="56"/>
      <c r="FQ791" s="56"/>
      <c r="FR791" s="56"/>
      <c r="FS791" s="56"/>
      <c r="FT791" s="56"/>
      <c r="FU791" s="56"/>
      <c r="FV791" s="56"/>
      <c r="FW791" s="56"/>
      <c r="FX791" s="56"/>
      <c r="FY791" s="56"/>
      <c r="FZ791" s="56"/>
      <c r="GA791" s="56"/>
      <c r="GB791" s="56"/>
      <c r="GC791" s="56"/>
      <c r="GD791" s="56"/>
      <c r="GE791" s="56"/>
      <c r="GF791" s="56"/>
    </row>
    <row r="792" spans="1:48" s="18" customFormat="1" ht="16.5" customHeight="1">
      <c r="A792" s="50"/>
      <c r="B792" s="93" t="s">
        <v>669</v>
      </c>
      <c r="C792" s="16"/>
      <c r="D792" s="52"/>
      <c r="E792" s="52"/>
      <c r="F792" s="52"/>
      <c r="G792" s="52"/>
      <c r="H792" s="52"/>
      <c r="I792" s="52"/>
      <c r="J792" s="52"/>
      <c r="K792" s="52"/>
      <c r="L792" s="60">
        <f>SUM(L793:L798)</f>
        <v>4</v>
      </c>
      <c r="M792" s="60">
        <f>SUM(M793:M798)</f>
        <v>8</v>
      </c>
      <c r="N792" s="60">
        <f>SUM(N793:N798)</f>
        <v>6</v>
      </c>
      <c r="O792" s="60">
        <f>SUM(O793:O798)</f>
        <v>2</v>
      </c>
      <c r="P792" s="60">
        <f>SUM(P793:P798)</f>
        <v>1</v>
      </c>
      <c r="Q792" s="23"/>
      <c r="R792" s="23"/>
      <c r="S792" s="1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7"/>
      <c r="AI792" s="47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</row>
    <row r="793" spans="1:48" s="27" customFormat="1" ht="16.5" customHeight="1">
      <c r="A793" s="12"/>
      <c r="B793" s="97" t="s">
        <v>54</v>
      </c>
      <c r="C793" s="29" t="s">
        <v>55</v>
      </c>
      <c r="D793" s="51"/>
      <c r="E793" s="51"/>
      <c r="F793" s="51"/>
      <c r="G793" s="51">
        <v>34</v>
      </c>
      <c r="H793" s="51">
        <v>34</v>
      </c>
      <c r="I793" s="51">
        <v>34</v>
      </c>
      <c r="J793" s="51">
        <v>34</v>
      </c>
      <c r="K793" s="51">
        <v>34</v>
      </c>
      <c r="L793" s="40">
        <v>1</v>
      </c>
      <c r="M793" s="40">
        <v>5</v>
      </c>
      <c r="N793" s="40">
        <v>5</v>
      </c>
      <c r="O793" s="40">
        <v>2</v>
      </c>
      <c r="P793" s="40">
        <v>1</v>
      </c>
      <c r="Q793" s="33"/>
      <c r="R793" s="28"/>
      <c r="S793" s="2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</row>
    <row r="794" spans="1:48" s="27" customFormat="1" ht="16.5" customHeight="1">
      <c r="A794" s="12"/>
      <c r="B794" s="97" t="s">
        <v>564</v>
      </c>
      <c r="C794" s="29" t="s">
        <v>565</v>
      </c>
      <c r="D794" s="51"/>
      <c r="E794" s="51"/>
      <c r="F794" s="51"/>
      <c r="G794" s="51">
        <v>5</v>
      </c>
      <c r="H794" s="51">
        <v>5</v>
      </c>
      <c r="I794" s="51">
        <v>5</v>
      </c>
      <c r="J794" s="51">
        <v>5</v>
      </c>
      <c r="K794" s="51">
        <v>5</v>
      </c>
      <c r="L794" s="40">
        <v>1</v>
      </c>
      <c r="M794" s="40" t="s">
        <v>556</v>
      </c>
      <c r="N794" s="40" t="s">
        <v>556</v>
      </c>
      <c r="O794" s="40" t="s">
        <v>556</v>
      </c>
      <c r="P794" s="40" t="s">
        <v>556</v>
      </c>
      <c r="Q794" s="33"/>
      <c r="R794" s="28"/>
      <c r="S794" s="2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</row>
    <row r="795" spans="1:48" s="27" customFormat="1" ht="16.5" customHeight="1">
      <c r="A795" s="12"/>
      <c r="B795" s="105" t="s">
        <v>18</v>
      </c>
      <c r="C795" s="15" t="s">
        <v>19</v>
      </c>
      <c r="D795" s="51"/>
      <c r="E795" s="51"/>
      <c r="F795" s="51"/>
      <c r="G795" s="51">
        <v>6</v>
      </c>
      <c r="H795" s="51">
        <v>6</v>
      </c>
      <c r="I795" s="51">
        <v>6</v>
      </c>
      <c r="J795" s="51">
        <v>6</v>
      </c>
      <c r="K795" s="51">
        <v>6</v>
      </c>
      <c r="L795" s="40" t="s">
        <v>556</v>
      </c>
      <c r="M795" s="40">
        <v>2</v>
      </c>
      <c r="N795" s="40" t="s">
        <v>556</v>
      </c>
      <c r="O795" s="40" t="s">
        <v>556</v>
      </c>
      <c r="P795" s="40" t="s">
        <v>556</v>
      </c>
      <c r="Q795" s="33"/>
      <c r="R795" s="33"/>
      <c r="S795" s="33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</row>
    <row r="796" spans="1:48" s="27" customFormat="1" ht="16.5" customHeight="1">
      <c r="A796" s="12"/>
      <c r="B796" s="97" t="s">
        <v>1292</v>
      </c>
      <c r="C796" s="29" t="s">
        <v>1293</v>
      </c>
      <c r="D796" s="51"/>
      <c r="E796" s="51"/>
      <c r="F796" s="51"/>
      <c r="G796" s="51">
        <v>2</v>
      </c>
      <c r="H796" s="51">
        <v>2</v>
      </c>
      <c r="I796" s="51">
        <v>2</v>
      </c>
      <c r="J796" s="51">
        <v>2</v>
      </c>
      <c r="K796" s="51">
        <v>2</v>
      </c>
      <c r="L796" s="40" t="s">
        <v>556</v>
      </c>
      <c r="M796" s="40" t="s">
        <v>556</v>
      </c>
      <c r="N796" s="40">
        <v>1</v>
      </c>
      <c r="O796" s="40" t="s">
        <v>556</v>
      </c>
      <c r="P796" s="40" t="s">
        <v>556</v>
      </c>
      <c r="Q796" s="33"/>
      <c r="R796" s="33"/>
      <c r="S796" s="33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</row>
    <row r="797" spans="1:48" s="27" customFormat="1" ht="16.5" customHeight="1">
      <c r="A797" s="12"/>
      <c r="B797" s="97" t="s">
        <v>545</v>
      </c>
      <c r="C797" s="29" t="s">
        <v>546</v>
      </c>
      <c r="D797" s="51"/>
      <c r="E797" s="51"/>
      <c r="F797" s="51"/>
      <c r="G797" s="51">
        <v>10</v>
      </c>
      <c r="H797" s="51">
        <v>10</v>
      </c>
      <c r="I797" s="51">
        <v>10</v>
      </c>
      <c r="J797" s="51">
        <v>10</v>
      </c>
      <c r="K797" s="51">
        <v>10</v>
      </c>
      <c r="L797" s="40">
        <v>2</v>
      </c>
      <c r="M797" s="40" t="s">
        <v>556</v>
      </c>
      <c r="N797" s="40" t="s">
        <v>556</v>
      </c>
      <c r="O797" s="40" t="s">
        <v>556</v>
      </c>
      <c r="P797" s="40" t="s">
        <v>556</v>
      </c>
      <c r="Q797" s="33"/>
      <c r="R797" s="33"/>
      <c r="S797" s="33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</row>
    <row r="798" spans="1:48" s="27" customFormat="1" ht="16.5" customHeight="1">
      <c r="A798" s="12"/>
      <c r="B798" s="97" t="s">
        <v>629</v>
      </c>
      <c r="C798" s="15" t="s">
        <v>787</v>
      </c>
      <c r="D798" s="51"/>
      <c r="E798" s="51"/>
      <c r="F798" s="51"/>
      <c r="G798" s="51">
        <v>6</v>
      </c>
      <c r="H798" s="51">
        <v>6</v>
      </c>
      <c r="I798" s="51">
        <v>6</v>
      </c>
      <c r="J798" s="51">
        <v>6</v>
      </c>
      <c r="K798" s="51">
        <v>6</v>
      </c>
      <c r="L798" s="40" t="s">
        <v>556</v>
      </c>
      <c r="M798" s="40">
        <v>1</v>
      </c>
      <c r="N798" s="40" t="s">
        <v>556</v>
      </c>
      <c r="O798" s="40" t="s">
        <v>556</v>
      </c>
      <c r="P798" s="40" t="s">
        <v>556</v>
      </c>
      <c r="Q798" s="33"/>
      <c r="R798" s="33"/>
      <c r="S798" s="33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</row>
    <row r="799" spans="1:48" s="18" customFormat="1" ht="16.5" customHeight="1">
      <c r="A799" s="50"/>
      <c r="B799" s="93" t="s">
        <v>670</v>
      </c>
      <c r="C799" s="16"/>
      <c r="D799" s="52"/>
      <c r="E799" s="51"/>
      <c r="F799" s="52"/>
      <c r="G799" s="52"/>
      <c r="H799" s="52"/>
      <c r="I799" s="52"/>
      <c r="J799" s="52"/>
      <c r="K799" s="52"/>
      <c r="L799" s="60" t="str">
        <f>L800</f>
        <v> -</v>
      </c>
      <c r="M799" s="60">
        <f>M800</f>
        <v>1</v>
      </c>
      <c r="N799" s="60">
        <f>N800</f>
        <v>1</v>
      </c>
      <c r="O799" s="60" t="str">
        <f>O800</f>
        <v> -</v>
      </c>
      <c r="P799" s="60" t="s">
        <v>556</v>
      </c>
      <c r="Q799" s="23"/>
      <c r="R799" s="23"/>
      <c r="S799" s="1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7"/>
      <c r="AI799" s="47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7"/>
    </row>
    <row r="800" spans="1:48" s="27" customFormat="1" ht="16.5" customHeight="1">
      <c r="A800" s="12"/>
      <c r="B800" s="97" t="s">
        <v>561</v>
      </c>
      <c r="C800" s="66" t="s">
        <v>804</v>
      </c>
      <c r="D800" s="51"/>
      <c r="E800" s="51"/>
      <c r="F800" s="51"/>
      <c r="G800" s="51">
        <v>6</v>
      </c>
      <c r="H800" s="51">
        <v>6</v>
      </c>
      <c r="I800" s="51">
        <v>6</v>
      </c>
      <c r="J800" s="51">
        <v>6</v>
      </c>
      <c r="K800" s="51">
        <v>6</v>
      </c>
      <c r="L800" s="40" t="s">
        <v>556</v>
      </c>
      <c r="M800" s="40">
        <v>1</v>
      </c>
      <c r="N800" s="40">
        <v>1</v>
      </c>
      <c r="O800" s="40" t="s">
        <v>556</v>
      </c>
      <c r="P800" s="40" t="s">
        <v>556</v>
      </c>
      <c r="Q800" s="30"/>
      <c r="R800" s="30"/>
      <c r="S800" s="30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</row>
    <row r="801" spans="1:48" s="27" customFormat="1" ht="16.5" customHeight="1">
      <c r="A801" s="12"/>
      <c r="B801" s="97" t="s">
        <v>566</v>
      </c>
      <c r="C801" s="15" t="s">
        <v>567</v>
      </c>
      <c r="D801" s="51"/>
      <c r="E801" s="51"/>
      <c r="F801" s="51"/>
      <c r="G801" s="51">
        <v>3</v>
      </c>
      <c r="H801" s="51">
        <v>3</v>
      </c>
      <c r="I801" s="51">
        <v>3</v>
      </c>
      <c r="J801" s="51">
        <v>3</v>
      </c>
      <c r="K801" s="51">
        <v>3</v>
      </c>
      <c r="L801" s="40" t="s">
        <v>556</v>
      </c>
      <c r="M801" s="40" t="s">
        <v>556</v>
      </c>
      <c r="N801" s="40" t="s">
        <v>556</v>
      </c>
      <c r="O801" s="40">
        <v>1</v>
      </c>
      <c r="P801" s="40">
        <v>1</v>
      </c>
      <c r="Q801" s="30"/>
      <c r="R801" s="30"/>
      <c r="S801" s="30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</row>
    <row r="802" spans="1:48" s="18" customFormat="1" ht="16.5" customHeight="1">
      <c r="A802" s="50"/>
      <c r="B802" s="93" t="s">
        <v>37</v>
      </c>
      <c r="C802" s="16"/>
      <c r="D802" s="52"/>
      <c r="E802" s="51"/>
      <c r="F802" s="52"/>
      <c r="G802" s="52"/>
      <c r="H802" s="52"/>
      <c r="I802" s="52"/>
      <c r="J802" s="52"/>
      <c r="K802" s="52"/>
      <c r="L802" s="60">
        <f>SUM(L803:L806)</f>
        <v>1</v>
      </c>
      <c r="M802" s="60">
        <f>SUM(M803:M806)</f>
        <v>1</v>
      </c>
      <c r="N802" s="60" t="s">
        <v>556</v>
      </c>
      <c r="O802" s="60">
        <f>SUM(O803:O806)</f>
        <v>1</v>
      </c>
      <c r="P802" s="60">
        <f>SUM(P803:P806)</f>
        <v>2</v>
      </c>
      <c r="Q802" s="23"/>
      <c r="R802" s="23"/>
      <c r="S802" s="1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7"/>
      <c r="AI802" s="47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47"/>
    </row>
    <row r="803" spans="1:48" s="27" customFormat="1" ht="16.5" customHeight="1">
      <c r="A803" s="12"/>
      <c r="B803" s="97" t="s">
        <v>808</v>
      </c>
      <c r="C803" s="29" t="s">
        <v>809</v>
      </c>
      <c r="D803" s="51"/>
      <c r="E803" s="51"/>
      <c r="F803" s="51"/>
      <c r="G803" s="51">
        <v>2</v>
      </c>
      <c r="H803" s="51">
        <v>2</v>
      </c>
      <c r="I803" s="51">
        <v>2</v>
      </c>
      <c r="J803" s="51">
        <v>2</v>
      </c>
      <c r="K803" s="51">
        <v>2</v>
      </c>
      <c r="L803" s="40" t="s">
        <v>556</v>
      </c>
      <c r="M803" s="40" t="s">
        <v>556</v>
      </c>
      <c r="N803" s="40" t="s">
        <v>556</v>
      </c>
      <c r="O803" s="40" t="s">
        <v>556</v>
      </c>
      <c r="P803" s="40">
        <v>2</v>
      </c>
      <c r="Q803" s="33"/>
      <c r="R803" s="33"/>
      <c r="S803" s="33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</row>
    <row r="804" spans="1:48" s="27" customFormat="1" ht="16.5" customHeight="1">
      <c r="A804" s="12"/>
      <c r="B804" s="97" t="s">
        <v>1045</v>
      </c>
      <c r="C804" s="29" t="s">
        <v>1046</v>
      </c>
      <c r="D804" s="51"/>
      <c r="E804" s="51"/>
      <c r="F804" s="51"/>
      <c r="G804" s="51">
        <v>1</v>
      </c>
      <c r="H804" s="51">
        <v>1</v>
      </c>
      <c r="I804" s="51">
        <v>1</v>
      </c>
      <c r="J804" s="51">
        <v>1</v>
      </c>
      <c r="K804" s="51">
        <v>1</v>
      </c>
      <c r="L804" s="40" t="s">
        <v>556</v>
      </c>
      <c r="M804" s="40" t="s">
        <v>556</v>
      </c>
      <c r="N804" s="40" t="s">
        <v>556</v>
      </c>
      <c r="O804" s="40">
        <v>1</v>
      </c>
      <c r="P804" s="40" t="s">
        <v>556</v>
      </c>
      <c r="Q804" s="33"/>
      <c r="R804" s="33"/>
      <c r="S804" s="33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</row>
    <row r="805" spans="1:48" s="27" customFormat="1" ht="16.5" customHeight="1">
      <c r="A805" s="12"/>
      <c r="B805" s="97" t="s">
        <v>455</v>
      </c>
      <c r="C805" s="29" t="s">
        <v>108</v>
      </c>
      <c r="D805" s="51"/>
      <c r="E805" s="51"/>
      <c r="F805" s="51"/>
      <c r="G805" s="51">
        <v>5</v>
      </c>
      <c r="H805" s="51">
        <v>5</v>
      </c>
      <c r="I805" s="51">
        <v>5</v>
      </c>
      <c r="J805" s="51">
        <v>5</v>
      </c>
      <c r="K805" s="51">
        <v>5</v>
      </c>
      <c r="L805" s="40">
        <v>1</v>
      </c>
      <c r="M805" s="40" t="s">
        <v>556</v>
      </c>
      <c r="N805" s="40" t="s">
        <v>556</v>
      </c>
      <c r="O805" s="40" t="s">
        <v>556</v>
      </c>
      <c r="P805" s="40" t="s">
        <v>556</v>
      </c>
      <c r="Q805" s="33"/>
      <c r="R805" s="33"/>
      <c r="S805" s="33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</row>
    <row r="806" spans="1:48" s="27" customFormat="1" ht="16.5" customHeight="1">
      <c r="A806" s="12"/>
      <c r="B806" s="97" t="s">
        <v>811</v>
      </c>
      <c r="C806" s="29" t="s">
        <v>812</v>
      </c>
      <c r="D806" s="51"/>
      <c r="E806" s="51"/>
      <c r="F806" s="51"/>
      <c r="G806" s="51">
        <v>2</v>
      </c>
      <c r="H806" s="51">
        <v>2</v>
      </c>
      <c r="I806" s="51">
        <v>2</v>
      </c>
      <c r="J806" s="51">
        <v>2</v>
      </c>
      <c r="K806" s="51">
        <v>2</v>
      </c>
      <c r="L806" s="40" t="s">
        <v>556</v>
      </c>
      <c r="M806" s="40">
        <v>1</v>
      </c>
      <c r="N806" s="40" t="s">
        <v>556</v>
      </c>
      <c r="O806" s="40" t="s">
        <v>556</v>
      </c>
      <c r="P806" s="40" t="s">
        <v>556</v>
      </c>
      <c r="Q806" s="33"/>
      <c r="R806" s="33"/>
      <c r="S806" s="33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</row>
    <row r="807" spans="1:188" s="57" customFormat="1" ht="16.5" customHeight="1">
      <c r="A807" s="13">
        <v>17</v>
      </c>
      <c r="B807" s="92" t="s">
        <v>56</v>
      </c>
      <c r="C807" s="45"/>
      <c r="D807" s="44">
        <v>249</v>
      </c>
      <c r="E807" s="44">
        <v>19</v>
      </c>
      <c r="F807" s="44"/>
      <c r="G807" s="44">
        <v>255</v>
      </c>
      <c r="H807" s="44">
        <v>256</v>
      </c>
      <c r="I807" s="44">
        <v>256</v>
      </c>
      <c r="J807" s="44">
        <v>256</v>
      </c>
      <c r="K807" s="44">
        <v>256</v>
      </c>
      <c r="L807" s="44">
        <v>7</v>
      </c>
      <c r="M807" s="44">
        <v>3</v>
      </c>
      <c r="N807" s="44">
        <v>2</v>
      </c>
      <c r="O807" s="44" t="s">
        <v>556</v>
      </c>
      <c r="P807" s="44" t="s">
        <v>556</v>
      </c>
      <c r="Q807" s="54" t="s">
        <v>648</v>
      </c>
      <c r="R807" s="54">
        <v>1</v>
      </c>
      <c r="S807" s="55" t="s">
        <v>1273</v>
      </c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  <c r="AE807" s="56"/>
      <c r="AF807" s="56"/>
      <c r="AG807" s="56"/>
      <c r="AH807" s="56"/>
      <c r="AI807" s="56"/>
      <c r="AJ807" s="56"/>
      <c r="AK807" s="56"/>
      <c r="AL807" s="56"/>
      <c r="AM807" s="56"/>
      <c r="AN807" s="56"/>
      <c r="AO807" s="56"/>
      <c r="AP807" s="56"/>
      <c r="AQ807" s="56"/>
      <c r="AR807" s="56"/>
      <c r="AS807" s="56"/>
      <c r="AT807" s="56"/>
      <c r="AU807" s="56"/>
      <c r="AV807" s="56"/>
      <c r="AW807" s="56"/>
      <c r="AX807" s="56"/>
      <c r="AY807" s="56"/>
      <c r="AZ807" s="56"/>
      <c r="BA807" s="56"/>
      <c r="BB807" s="56"/>
      <c r="BC807" s="56"/>
      <c r="BD807" s="56"/>
      <c r="BE807" s="56"/>
      <c r="BF807" s="56"/>
      <c r="BG807" s="56"/>
      <c r="BH807" s="56"/>
      <c r="BI807" s="56"/>
      <c r="BJ807" s="56"/>
      <c r="BK807" s="56"/>
      <c r="BL807" s="56"/>
      <c r="BM807" s="56"/>
      <c r="BN807" s="56"/>
      <c r="BO807" s="56"/>
      <c r="BP807" s="56"/>
      <c r="BQ807" s="56"/>
      <c r="BR807" s="56"/>
      <c r="BS807" s="56"/>
      <c r="BT807" s="56"/>
      <c r="BU807" s="56"/>
      <c r="BV807" s="56"/>
      <c r="BW807" s="56"/>
      <c r="BX807" s="56"/>
      <c r="BY807" s="56"/>
      <c r="BZ807" s="56"/>
      <c r="CA807" s="56"/>
      <c r="CB807" s="56"/>
      <c r="CC807" s="56"/>
      <c r="CD807" s="56"/>
      <c r="CE807" s="56"/>
      <c r="CF807" s="56"/>
      <c r="CG807" s="56"/>
      <c r="CH807" s="56"/>
      <c r="CI807" s="56"/>
      <c r="CJ807" s="56"/>
      <c r="CK807" s="56"/>
      <c r="CL807" s="56"/>
      <c r="CM807" s="56"/>
      <c r="CN807" s="56"/>
      <c r="CO807" s="56"/>
      <c r="CP807" s="56"/>
      <c r="CQ807" s="56"/>
      <c r="CR807" s="56"/>
      <c r="CS807" s="56"/>
      <c r="CT807" s="56"/>
      <c r="CU807" s="56"/>
      <c r="CV807" s="56"/>
      <c r="CW807" s="56"/>
      <c r="CX807" s="56"/>
      <c r="CY807" s="56"/>
      <c r="CZ807" s="56"/>
      <c r="DA807" s="56"/>
      <c r="DB807" s="56"/>
      <c r="DC807" s="56"/>
      <c r="DD807" s="56"/>
      <c r="DE807" s="56"/>
      <c r="DF807" s="56"/>
      <c r="DG807" s="56"/>
      <c r="DH807" s="56"/>
      <c r="DI807" s="56"/>
      <c r="DJ807" s="56"/>
      <c r="DK807" s="56"/>
      <c r="DL807" s="56"/>
      <c r="DM807" s="56"/>
      <c r="DN807" s="56"/>
      <c r="DO807" s="56"/>
      <c r="DP807" s="56"/>
      <c r="DQ807" s="56"/>
      <c r="DR807" s="56"/>
      <c r="DS807" s="56"/>
      <c r="DT807" s="56"/>
      <c r="DU807" s="56"/>
      <c r="DV807" s="56"/>
      <c r="DW807" s="56"/>
      <c r="DX807" s="56"/>
      <c r="DY807" s="56"/>
      <c r="DZ807" s="56"/>
      <c r="EA807" s="56"/>
      <c r="EB807" s="56"/>
      <c r="EC807" s="56"/>
      <c r="ED807" s="56"/>
      <c r="EE807" s="56"/>
      <c r="EF807" s="56"/>
      <c r="EG807" s="56"/>
      <c r="EH807" s="56"/>
      <c r="EI807" s="56"/>
      <c r="EJ807" s="56"/>
      <c r="EK807" s="56"/>
      <c r="EL807" s="56"/>
      <c r="EM807" s="56"/>
      <c r="EN807" s="56"/>
      <c r="EO807" s="56"/>
      <c r="EP807" s="56"/>
      <c r="EQ807" s="56"/>
      <c r="ER807" s="56"/>
      <c r="ES807" s="56"/>
      <c r="ET807" s="56"/>
      <c r="EU807" s="56"/>
      <c r="EV807" s="56"/>
      <c r="EW807" s="56"/>
      <c r="EX807" s="56"/>
      <c r="EY807" s="56"/>
      <c r="EZ807" s="56"/>
      <c r="FA807" s="56"/>
      <c r="FB807" s="56"/>
      <c r="FC807" s="56"/>
      <c r="FD807" s="56"/>
      <c r="FE807" s="56"/>
      <c r="FF807" s="56"/>
      <c r="FG807" s="56"/>
      <c r="FH807" s="56"/>
      <c r="FI807" s="56"/>
      <c r="FJ807" s="56"/>
      <c r="FK807" s="56"/>
      <c r="FL807" s="56"/>
      <c r="FM807" s="56"/>
      <c r="FN807" s="56"/>
      <c r="FO807" s="56"/>
      <c r="FP807" s="56"/>
      <c r="FQ807" s="56"/>
      <c r="FR807" s="56"/>
      <c r="FS807" s="56"/>
      <c r="FT807" s="56"/>
      <c r="FU807" s="56"/>
      <c r="FV807" s="56"/>
      <c r="FW807" s="56"/>
      <c r="FX807" s="56"/>
      <c r="FY807" s="56"/>
      <c r="FZ807" s="56"/>
      <c r="GA807" s="56"/>
      <c r="GB807" s="56"/>
      <c r="GC807" s="56"/>
      <c r="GD807" s="56"/>
      <c r="GE807" s="56"/>
      <c r="GF807" s="56"/>
    </row>
    <row r="808" spans="1:48" s="18" customFormat="1" ht="16.5" customHeight="1">
      <c r="A808" s="50"/>
      <c r="B808" s="93" t="s">
        <v>669</v>
      </c>
      <c r="C808" s="16"/>
      <c r="D808" s="52"/>
      <c r="E808" s="52"/>
      <c r="F808" s="52"/>
      <c r="G808" s="52"/>
      <c r="H808" s="52"/>
      <c r="I808" s="52"/>
      <c r="J808" s="52"/>
      <c r="K808" s="52"/>
      <c r="L808" s="60">
        <f>SUM(L809:L813)</f>
        <v>6</v>
      </c>
      <c r="M808" s="60">
        <f>SUM(M809:M813)</f>
        <v>3</v>
      </c>
      <c r="N808" s="60">
        <f>SUM(N809:N813)</f>
        <v>1</v>
      </c>
      <c r="O808" s="60" t="s">
        <v>556</v>
      </c>
      <c r="P808" s="60" t="s">
        <v>556</v>
      </c>
      <c r="Q808" s="23"/>
      <c r="R808" s="23"/>
      <c r="S808" s="1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7"/>
      <c r="AI808" s="47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47"/>
    </row>
    <row r="809" spans="1:48" s="27" customFormat="1" ht="16.5" customHeight="1">
      <c r="A809" s="12"/>
      <c r="B809" s="97" t="s">
        <v>52</v>
      </c>
      <c r="C809" s="29" t="s">
        <v>53</v>
      </c>
      <c r="D809" s="51"/>
      <c r="E809" s="51"/>
      <c r="F809" s="51"/>
      <c r="G809" s="51">
        <v>9</v>
      </c>
      <c r="H809" s="51">
        <v>10</v>
      </c>
      <c r="I809" s="51">
        <v>10</v>
      </c>
      <c r="J809" s="51">
        <v>10</v>
      </c>
      <c r="K809" s="51">
        <v>10</v>
      </c>
      <c r="L809" s="40">
        <v>1</v>
      </c>
      <c r="M809" s="40">
        <v>1</v>
      </c>
      <c r="N809" s="40" t="s">
        <v>556</v>
      </c>
      <c r="O809" s="40" t="s">
        <v>556</v>
      </c>
      <c r="P809" s="40" t="s">
        <v>556</v>
      </c>
      <c r="Q809" s="33"/>
      <c r="R809" s="33"/>
      <c r="S809" s="33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</row>
    <row r="810" spans="1:48" s="27" customFormat="1" ht="16.5" customHeight="1">
      <c r="A810" s="12"/>
      <c r="B810" s="97" t="s">
        <v>460</v>
      </c>
      <c r="C810" s="29" t="s">
        <v>544</v>
      </c>
      <c r="D810" s="51"/>
      <c r="E810" s="51"/>
      <c r="F810" s="51"/>
      <c r="G810" s="51">
        <v>20</v>
      </c>
      <c r="H810" s="51">
        <v>20</v>
      </c>
      <c r="I810" s="51">
        <v>20</v>
      </c>
      <c r="J810" s="51">
        <v>20</v>
      </c>
      <c r="K810" s="51">
        <v>20</v>
      </c>
      <c r="L810" s="40">
        <v>2</v>
      </c>
      <c r="M810" s="40">
        <v>1</v>
      </c>
      <c r="N810" s="40" t="s">
        <v>556</v>
      </c>
      <c r="O810" s="40" t="s">
        <v>556</v>
      </c>
      <c r="P810" s="40" t="s">
        <v>556</v>
      </c>
      <c r="Q810" s="33"/>
      <c r="R810" s="33"/>
      <c r="S810" s="33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</row>
    <row r="811" spans="1:48" s="27" customFormat="1" ht="16.5" customHeight="1">
      <c r="A811" s="12"/>
      <c r="B811" s="97" t="s">
        <v>450</v>
      </c>
      <c r="C811" s="29" t="s">
        <v>451</v>
      </c>
      <c r="D811" s="51"/>
      <c r="E811" s="51"/>
      <c r="F811" s="51"/>
      <c r="G811" s="51">
        <v>4</v>
      </c>
      <c r="H811" s="51">
        <v>4</v>
      </c>
      <c r="I811" s="51">
        <v>4</v>
      </c>
      <c r="J811" s="51">
        <v>4</v>
      </c>
      <c r="K811" s="51">
        <v>4</v>
      </c>
      <c r="L811" s="40">
        <v>1</v>
      </c>
      <c r="M811" s="40" t="s">
        <v>556</v>
      </c>
      <c r="N811" s="40" t="s">
        <v>556</v>
      </c>
      <c r="O811" s="40" t="s">
        <v>556</v>
      </c>
      <c r="P811" s="40" t="s">
        <v>556</v>
      </c>
      <c r="Q811" s="33"/>
      <c r="R811" s="33"/>
      <c r="S811" s="33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</row>
    <row r="812" spans="1:48" s="27" customFormat="1" ht="16.5" customHeight="1">
      <c r="A812" s="12"/>
      <c r="B812" s="97" t="s">
        <v>564</v>
      </c>
      <c r="C812" s="29" t="s">
        <v>565</v>
      </c>
      <c r="D812" s="51"/>
      <c r="E812" s="51"/>
      <c r="F812" s="51"/>
      <c r="G812" s="51">
        <v>5</v>
      </c>
      <c r="H812" s="51">
        <v>5</v>
      </c>
      <c r="I812" s="51">
        <v>5</v>
      </c>
      <c r="J812" s="51">
        <v>5</v>
      </c>
      <c r="K812" s="51">
        <v>5</v>
      </c>
      <c r="L812" s="40">
        <v>1</v>
      </c>
      <c r="M812" s="40" t="s">
        <v>556</v>
      </c>
      <c r="N812" s="40" t="s">
        <v>556</v>
      </c>
      <c r="O812" s="40" t="s">
        <v>556</v>
      </c>
      <c r="P812" s="40" t="s">
        <v>556</v>
      </c>
      <c r="Q812" s="33"/>
      <c r="R812" s="33"/>
      <c r="S812" s="33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</row>
    <row r="813" spans="1:48" s="27" customFormat="1" ht="16.5" customHeight="1">
      <c r="A813" s="12"/>
      <c r="B813" s="97" t="s">
        <v>448</v>
      </c>
      <c r="C813" s="29" t="s">
        <v>449</v>
      </c>
      <c r="D813" s="51"/>
      <c r="E813" s="51"/>
      <c r="F813" s="51"/>
      <c r="G813" s="51">
        <v>5</v>
      </c>
      <c r="H813" s="51">
        <v>5</v>
      </c>
      <c r="I813" s="51">
        <v>5</v>
      </c>
      <c r="J813" s="51">
        <v>5</v>
      </c>
      <c r="K813" s="51">
        <v>5</v>
      </c>
      <c r="L813" s="40">
        <v>1</v>
      </c>
      <c r="M813" s="40">
        <v>1</v>
      </c>
      <c r="N813" s="40">
        <v>1</v>
      </c>
      <c r="O813" s="40" t="s">
        <v>556</v>
      </c>
      <c r="P813" s="40" t="s">
        <v>556</v>
      </c>
      <c r="Q813" s="33"/>
      <c r="R813" s="33"/>
      <c r="S813" s="33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</row>
    <row r="814" spans="1:48" s="18" customFormat="1" ht="16.5" customHeight="1">
      <c r="A814" s="50"/>
      <c r="B814" s="93" t="s">
        <v>670</v>
      </c>
      <c r="C814" s="16"/>
      <c r="D814" s="52"/>
      <c r="E814" s="51"/>
      <c r="F814" s="52"/>
      <c r="G814" s="52"/>
      <c r="H814" s="52"/>
      <c r="I814" s="52"/>
      <c r="J814" s="52"/>
      <c r="K814" s="52"/>
      <c r="L814" s="60">
        <f>L815</f>
        <v>1</v>
      </c>
      <c r="M814" s="60" t="str">
        <f>M815</f>
        <v> -</v>
      </c>
      <c r="N814" s="60">
        <f>N815</f>
        <v>1</v>
      </c>
      <c r="O814" s="60" t="str">
        <f>O815</f>
        <v> -</v>
      </c>
      <c r="P814" s="60" t="str">
        <f>P815</f>
        <v> -</v>
      </c>
      <c r="Q814" s="23"/>
      <c r="R814" s="23"/>
      <c r="S814" s="1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7"/>
      <c r="AI814" s="47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</row>
    <row r="815" spans="1:48" s="27" customFormat="1" ht="16.5" customHeight="1">
      <c r="A815" s="12"/>
      <c r="B815" s="97" t="s">
        <v>6</v>
      </c>
      <c r="C815" s="15" t="s">
        <v>7</v>
      </c>
      <c r="D815" s="51"/>
      <c r="E815" s="51"/>
      <c r="F815" s="51"/>
      <c r="G815" s="51">
        <v>9</v>
      </c>
      <c r="H815" s="51">
        <v>9</v>
      </c>
      <c r="I815" s="51">
        <v>9</v>
      </c>
      <c r="J815" s="51">
        <v>9</v>
      </c>
      <c r="K815" s="51">
        <v>9</v>
      </c>
      <c r="L815" s="40">
        <v>1</v>
      </c>
      <c r="M815" s="40" t="s">
        <v>556</v>
      </c>
      <c r="N815" s="40">
        <v>1</v>
      </c>
      <c r="O815" s="40" t="s">
        <v>556</v>
      </c>
      <c r="P815" s="40" t="s">
        <v>556</v>
      </c>
      <c r="Q815" s="30"/>
      <c r="R815" s="30"/>
      <c r="S815" s="30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</row>
    <row r="816" spans="1:188" s="57" customFormat="1" ht="16.5" customHeight="1">
      <c r="A816" s="13">
        <v>18</v>
      </c>
      <c r="B816" s="92" t="s">
        <v>202</v>
      </c>
      <c r="C816" s="45"/>
      <c r="D816" s="44">
        <v>150</v>
      </c>
      <c r="E816" s="44">
        <v>44</v>
      </c>
      <c r="F816" s="44"/>
      <c r="G816" s="44">
        <v>150</v>
      </c>
      <c r="H816" s="44">
        <v>150</v>
      </c>
      <c r="I816" s="44">
        <v>150</v>
      </c>
      <c r="J816" s="44">
        <v>150</v>
      </c>
      <c r="K816" s="44">
        <v>150</v>
      </c>
      <c r="L816" s="44">
        <f>SUM(L817,L824,L827)</f>
        <v>20</v>
      </c>
      <c r="M816" s="44">
        <f>SUM(M817,M824,M827)</f>
        <v>3</v>
      </c>
      <c r="N816" s="44">
        <f>SUM(N817,N824,N827)</f>
        <v>6</v>
      </c>
      <c r="O816" s="44">
        <f>SUM(O817,O824,O827)</f>
        <v>6</v>
      </c>
      <c r="P816" s="44">
        <f>SUM(P817,P824,P827)</f>
        <v>6</v>
      </c>
      <c r="Q816" s="54" t="s">
        <v>648</v>
      </c>
      <c r="R816" s="54">
        <v>1</v>
      </c>
      <c r="S816" s="55" t="s">
        <v>1273</v>
      </c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  <c r="AF816" s="56"/>
      <c r="AG816" s="56"/>
      <c r="AH816" s="56"/>
      <c r="AI816" s="56"/>
      <c r="AJ816" s="56"/>
      <c r="AK816" s="56"/>
      <c r="AL816" s="56"/>
      <c r="AM816" s="56"/>
      <c r="AN816" s="56"/>
      <c r="AO816" s="56"/>
      <c r="AP816" s="56"/>
      <c r="AQ816" s="56"/>
      <c r="AR816" s="56"/>
      <c r="AS816" s="56"/>
      <c r="AT816" s="56"/>
      <c r="AU816" s="56"/>
      <c r="AV816" s="56"/>
      <c r="AW816" s="56"/>
      <c r="AX816" s="56"/>
      <c r="AY816" s="56"/>
      <c r="AZ816" s="56"/>
      <c r="BA816" s="56"/>
      <c r="BB816" s="56"/>
      <c r="BC816" s="56"/>
      <c r="BD816" s="56"/>
      <c r="BE816" s="56"/>
      <c r="BF816" s="56"/>
      <c r="BG816" s="56"/>
      <c r="BH816" s="56"/>
      <c r="BI816" s="56"/>
      <c r="BJ816" s="56"/>
      <c r="BK816" s="56"/>
      <c r="BL816" s="56"/>
      <c r="BM816" s="56"/>
      <c r="BN816" s="56"/>
      <c r="BO816" s="56"/>
      <c r="BP816" s="56"/>
      <c r="BQ816" s="56"/>
      <c r="BR816" s="56"/>
      <c r="BS816" s="56"/>
      <c r="BT816" s="56"/>
      <c r="BU816" s="56"/>
      <c r="BV816" s="56"/>
      <c r="BW816" s="56"/>
      <c r="BX816" s="56"/>
      <c r="BY816" s="56"/>
      <c r="BZ816" s="56"/>
      <c r="CA816" s="56"/>
      <c r="CB816" s="56"/>
      <c r="CC816" s="56"/>
      <c r="CD816" s="56"/>
      <c r="CE816" s="56"/>
      <c r="CF816" s="56"/>
      <c r="CG816" s="56"/>
      <c r="CH816" s="56"/>
      <c r="CI816" s="56"/>
      <c r="CJ816" s="56"/>
      <c r="CK816" s="56"/>
      <c r="CL816" s="56"/>
      <c r="CM816" s="56"/>
      <c r="CN816" s="56"/>
      <c r="CO816" s="56"/>
      <c r="CP816" s="56"/>
      <c r="CQ816" s="56"/>
      <c r="CR816" s="56"/>
      <c r="CS816" s="56"/>
      <c r="CT816" s="56"/>
      <c r="CU816" s="56"/>
      <c r="CV816" s="56"/>
      <c r="CW816" s="56"/>
      <c r="CX816" s="56"/>
      <c r="CY816" s="56"/>
      <c r="CZ816" s="56"/>
      <c r="DA816" s="56"/>
      <c r="DB816" s="56"/>
      <c r="DC816" s="56"/>
      <c r="DD816" s="56"/>
      <c r="DE816" s="56"/>
      <c r="DF816" s="56"/>
      <c r="DG816" s="56"/>
      <c r="DH816" s="56"/>
      <c r="DI816" s="56"/>
      <c r="DJ816" s="56"/>
      <c r="DK816" s="56"/>
      <c r="DL816" s="56"/>
      <c r="DM816" s="56"/>
      <c r="DN816" s="56"/>
      <c r="DO816" s="56"/>
      <c r="DP816" s="56"/>
      <c r="DQ816" s="56"/>
      <c r="DR816" s="56"/>
      <c r="DS816" s="56"/>
      <c r="DT816" s="56"/>
      <c r="DU816" s="56"/>
      <c r="DV816" s="56"/>
      <c r="DW816" s="56"/>
      <c r="DX816" s="56"/>
      <c r="DY816" s="56"/>
      <c r="DZ816" s="56"/>
      <c r="EA816" s="56"/>
      <c r="EB816" s="56"/>
      <c r="EC816" s="56"/>
      <c r="ED816" s="56"/>
      <c r="EE816" s="56"/>
      <c r="EF816" s="56"/>
      <c r="EG816" s="56"/>
      <c r="EH816" s="56"/>
      <c r="EI816" s="56"/>
      <c r="EJ816" s="56"/>
      <c r="EK816" s="56"/>
      <c r="EL816" s="56"/>
      <c r="EM816" s="56"/>
      <c r="EN816" s="56"/>
      <c r="EO816" s="56"/>
      <c r="EP816" s="56"/>
      <c r="EQ816" s="56"/>
      <c r="ER816" s="56"/>
      <c r="ES816" s="56"/>
      <c r="ET816" s="56"/>
      <c r="EU816" s="56"/>
      <c r="EV816" s="56"/>
      <c r="EW816" s="56"/>
      <c r="EX816" s="56"/>
      <c r="EY816" s="56"/>
      <c r="EZ816" s="56"/>
      <c r="FA816" s="56"/>
      <c r="FB816" s="56"/>
      <c r="FC816" s="56"/>
      <c r="FD816" s="56"/>
      <c r="FE816" s="56"/>
      <c r="FF816" s="56"/>
      <c r="FG816" s="56"/>
      <c r="FH816" s="56"/>
      <c r="FI816" s="56"/>
      <c r="FJ816" s="56"/>
      <c r="FK816" s="56"/>
      <c r="FL816" s="56"/>
      <c r="FM816" s="56"/>
      <c r="FN816" s="56"/>
      <c r="FO816" s="56"/>
      <c r="FP816" s="56"/>
      <c r="FQ816" s="56"/>
      <c r="FR816" s="56"/>
      <c r="FS816" s="56"/>
      <c r="FT816" s="56"/>
      <c r="FU816" s="56"/>
      <c r="FV816" s="56"/>
      <c r="FW816" s="56"/>
      <c r="FX816" s="56"/>
      <c r="FY816" s="56"/>
      <c r="FZ816" s="56"/>
      <c r="GA816" s="56"/>
      <c r="GB816" s="56"/>
      <c r="GC816" s="56"/>
      <c r="GD816" s="56"/>
      <c r="GE816" s="56"/>
      <c r="GF816" s="56"/>
    </row>
    <row r="817" spans="1:48" s="18" customFormat="1" ht="16.5" customHeight="1">
      <c r="A817" s="50"/>
      <c r="B817" s="93" t="s">
        <v>669</v>
      </c>
      <c r="C817" s="16"/>
      <c r="D817" s="52"/>
      <c r="E817" s="52"/>
      <c r="F817" s="52"/>
      <c r="G817" s="52"/>
      <c r="H817" s="52"/>
      <c r="I817" s="52"/>
      <c r="J817" s="52"/>
      <c r="K817" s="52"/>
      <c r="L817" s="60">
        <f>SUM(L818:L823)</f>
        <v>16</v>
      </c>
      <c r="M817" s="60">
        <f>SUM(M818:M823)</f>
        <v>2</v>
      </c>
      <c r="N817" s="60">
        <f>SUM(N818:N823)</f>
        <v>2</v>
      </c>
      <c r="O817" s="60">
        <f>SUM(O818:O823)</f>
        <v>5</v>
      </c>
      <c r="P817" s="60">
        <f>SUM(P818:P823)</f>
        <v>4</v>
      </c>
      <c r="Q817" s="23"/>
      <c r="R817" s="23"/>
      <c r="S817" s="1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</row>
    <row r="818" spans="1:48" s="27" customFormat="1" ht="30.75" customHeight="1">
      <c r="A818" s="12"/>
      <c r="B818" s="97" t="s">
        <v>526</v>
      </c>
      <c r="C818" s="29" t="s">
        <v>525</v>
      </c>
      <c r="D818" s="51"/>
      <c r="E818" s="51"/>
      <c r="F818" s="51"/>
      <c r="G818" s="51">
        <v>14</v>
      </c>
      <c r="H818" s="51">
        <v>14</v>
      </c>
      <c r="I818" s="51">
        <v>14</v>
      </c>
      <c r="J818" s="51">
        <v>14</v>
      </c>
      <c r="K818" s="51">
        <v>14</v>
      </c>
      <c r="L818" s="40">
        <v>5</v>
      </c>
      <c r="M818" s="40">
        <v>1</v>
      </c>
      <c r="N818" s="40">
        <v>1</v>
      </c>
      <c r="O818" s="40">
        <v>2</v>
      </c>
      <c r="P818" s="40">
        <v>1</v>
      </c>
      <c r="Q818" s="33"/>
      <c r="R818" s="33"/>
      <c r="S818" s="33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</row>
    <row r="819" spans="1:48" s="27" customFormat="1" ht="20.25" customHeight="1">
      <c r="A819" s="12"/>
      <c r="B819" s="97" t="s">
        <v>560</v>
      </c>
      <c r="C819" s="29" t="s">
        <v>1319</v>
      </c>
      <c r="D819" s="51"/>
      <c r="E819" s="51"/>
      <c r="F819" s="51"/>
      <c r="G819" s="51">
        <v>9</v>
      </c>
      <c r="H819" s="51">
        <v>9</v>
      </c>
      <c r="I819" s="51">
        <v>9</v>
      </c>
      <c r="J819" s="51">
        <v>9</v>
      </c>
      <c r="K819" s="51">
        <v>9</v>
      </c>
      <c r="L819" s="40">
        <v>1</v>
      </c>
      <c r="M819" s="40">
        <v>1</v>
      </c>
      <c r="N819" s="40" t="s">
        <v>556</v>
      </c>
      <c r="O819" s="40">
        <v>1</v>
      </c>
      <c r="P819" s="40">
        <v>1</v>
      </c>
      <c r="Q819" s="33"/>
      <c r="R819" s="33"/>
      <c r="S819" s="33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</row>
    <row r="820" spans="1:48" s="27" customFormat="1" ht="18.75" customHeight="1">
      <c r="A820" s="12"/>
      <c r="B820" s="97" t="s">
        <v>629</v>
      </c>
      <c r="C820" s="15" t="s">
        <v>787</v>
      </c>
      <c r="D820" s="51"/>
      <c r="E820" s="51"/>
      <c r="F820" s="51"/>
      <c r="G820" s="51">
        <v>4</v>
      </c>
      <c r="H820" s="51">
        <v>4</v>
      </c>
      <c r="I820" s="51">
        <v>4</v>
      </c>
      <c r="J820" s="51">
        <v>4</v>
      </c>
      <c r="K820" s="51">
        <v>4</v>
      </c>
      <c r="L820" s="40">
        <v>4</v>
      </c>
      <c r="M820" s="40" t="s">
        <v>556</v>
      </c>
      <c r="N820" s="40" t="s">
        <v>556</v>
      </c>
      <c r="O820" s="40" t="s">
        <v>556</v>
      </c>
      <c r="P820" s="40" t="s">
        <v>556</v>
      </c>
      <c r="Q820" s="33"/>
      <c r="R820" s="28"/>
      <c r="S820" s="2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</row>
    <row r="821" spans="1:48" s="27" customFormat="1" ht="16.5" customHeight="1">
      <c r="A821" s="12"/>
      <c r="B821" s="105" t="s">
        <v>928</v>
      </c>
      <c r="C821" s="15" t="s">
        <v>929</v>
      </c>
      <c r="D821" s="51"/>
      <c r="E821" s="51"/>
      <c r="F821" s="51"/>
      <c r="G821" s="51">
        <v>1</v>
      </c>
      <c r="H821" s="51">
        <v>1</v>
      </c>
      <c r="I821" s="51">
        <v>1</v>
      </c>
      <c r="J821" s="51">
        <v>1</v>
      </c>
      <c r="K821" s="51">
        <v>1</v>
      </c>
      <c r="L821" s="40">
        <v>1</v>
      </c>
      <c r="M821" s="40" t="s">
        <v>556</v>
      </c>
      <c r="N821" s="40" t="s">
        <v>556</v>
      </c>
      <c r="O821" s="40">
        <v>1</v>
      </c>
      <c r="P821" s="40" t="s">
        <v>556</v>
      </c>
      <c r="Q821" s="33"/>
      <c r="R821" s="33"/>
      <c r="S821" s="33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</row>
    <row r="822" spans="1:48" s="27" customFormat="1" ht="16.5" customHeight="1">
      <c r="A822" s="12"/>
      <c r="B822" s="97" t="s">
        <v>448</v>
      </c>
      <c r="C822" s="29" t="s">
        <v>449</v>
      </c>
      <c r="D822" s="51"/>
      <c r="E822" s="51"/>
      <c r="F822" s="51"/>
      <c r="G822" s="51">
        <v>13</v>
      </c>
      <c r="H822" s="51">
        <v>13</v>
      </c>
      <c r="I822" s="51">
        <v>13</v>
      </c>
      <c r="J822" s="51">
        <v>13</v>
      </c>
      <c r="K822" s="51">
        <v>13</v>
      </c>
      <c r="L822" s="40">
        <v>5</v>
      </c>
      <c r="M822" s="40" t="s">
        <v>556</v>
      </c>
      <c r="N822" s="40" t="s">
        <v>556</v>
      </c>
      <c r="O822" s="40">
        <v>1</v>
      </c>
      <c r="P822" s="40">
        <v>2</v>
      </c>
      <c r="Q822" s="33"/>
      <c r="R822" s="33"/>
      <c r="S822" s="33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</row>
    <row r="823" spans="1:48" s="27" customFormat="1" ht="16.5" customHeight="1">
      <c r="A823" s="12"/>
      <c r="B823" s="97" t="s">
        <v>1297</v>
      </c>
      <c r="C823" s="29" t="s">
        <v>1298</v>
      </c>
      <c r="D823" s="51"/>
      <c r="E823" s="51"/>
      <c r="F823" s="51"/>
      <c r="G823" s="51">
        <v>1</v>
      </c>
      <c r="H823" s="51">
        <v>1</v>
      </c>
      <c r="I823" s="51">
        <v>1</v>
      </c>
      <c r="J823" s="51">
        <v>1</v>
      </c>
      <c r="K823" s="51">
        <v>1</v>
      </c>
      <c r="L823" s="40" t="s">
        <v>556</v>
      </c>
      <c r="M823" s="40" t="s">
        <v>556</v>
      </c>
      <c r="N823" s="40">
        <v>1</v>
      </c>
      <c r="O823" s="40" t="s">
        <v>556</v>
      </c>
      <c r="P823" s="40" t="s">
        <v>556</v>
      </c>
      <c r="Q823" s="33"/>
      <c r="R823" s="33"/>
      <c r="S823" s="33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</row>
    <row r="824" spans="1:48" s="18" customFormat="1" ht="16.5" customHeight="1">
      <c r="A824" s="50"/>
      <c r="B824" s="93" t="s">
        <v>670</v>
      </c>
      <c r="C824" s="16"/>
      <c r="D824" s="52"/>
      <c r="E824" s="51"/>
      <c r="F824" s="52"/>
      <c r="G824" s="52"/>
      <c r="H824" s="52"/>
      <c r="I824" s="52"/>
      <c r="J824" s="52"/>
      <c r="K824" s="52"/>
      <c r="L824" s="60">
        <f>SUM(L825:L826)</f>
        <v>3</v>
      </c>
      <c r="M824" s="60">
        <f>SUM(M825:M826)</f>
        <v>1</v>
      </c>
      <c r="N824" s="60">
        <f>SUM(N825:N826)</f>
        <v>2</v>
      </c>
      <c r="O824" s="60">
        <f>SUM(O825:O826)</f>
        <v>1</v>
      </c>
      <c r="P824" s="60">
        <f>SUM(P825:P826)</f>
        <v>2</v>
      </c>
      <c r="Q824" s="23"/>
      <c r="R824" s="23"/>
      <c r="S824" s="1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7"/>
      <c r="AI824" s="47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47"/>
    </row>
    <row r="825" spans="1:48" s="27" customFormat="1" ht="16.5" customHeight="1">
      <c r="A825" s="12"/>
      <c r="B825" s="97" t="s">
        <v>542</v>
      </c>
      <c r="C825" s="15" t="s">
        <v>543</v>
      </c>
      <c r="D825" s="51"/>
      <c r="E825" s="51"/>
      <c r="F825" s="51"/>
      <c r="G825" s="51">
        <v>1</v>
      </c>
      <c r="H825" s="51">
        <v>1</v>
      </c>
      <c r="I825" s="51">
        <v>1</v>
      </c>
      <c r="J825" s="51">
        <v>1</v>
      </c>
      <c r="K825" s="51">
        <v>1</v>
      </c>
      <c r="L825" s="40">
        <v>1</v>
      </c>
      <c r="M825" s="40">
        <v>1</v>
      </c>
      <c r="N825" s="40">
        <v>1</v>
      </c>
      <c r="O825" s="40">
        <v>1</v>
      </c>
      <c r="P825" s="40">
        <v>1</v>
      </c>
      <c r="Q825" s="30"/>
      <c r="R825" s="30"/>
      <c r="S825" s="30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</row>
    <row r="826" spans="1:48" s="27" customFormat="1" ht="16.5" customHeight="1">
      <c r="A826" s="12"/>
      <c r="B826" s="97" t="s">
        <v>6</v>
      </c>
      <c r="C826" s="15" t="s">
        <v>7</v>
      </c>
      <c r="D826" s="51"/>
      <c r="E826" s="51"/>
      <c r="F826" s="51"/>
      <c r="G826" s="51">
        <v>5</v>
      </c>
      <c r="H826" s="51">
        <v>5</v>
      </c>
      <c r="I826" s="51">
        <v>5</v>
      </c>
      <c r="J826" s="51">
        <v>5</v>
      </c>
      <c r="K826" s="51">
        <v>5</v>
      </c>
      <c r="L826" s="40">
        <v>2</v>
      </c>
      <c r="M826" s="40" t="s">
        <v>556</v>
      </c>
      <c r="N826" s="40">
        <v>1</v>
      </c>
      <c r="O826" s="40" t="s">
        <v>556</v>
      </c>
      <c r="P826" s="40">
        <v>1</v>
      </c>
      <c r="Q826" s="30"/>
      <c r="R826" s="30"/>
      <c r="S826" s="30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</row>
    <row r="827" spans="1:48" s="18" customFormat="1" ht="16.5" customHeight="1">
      <c r="A827" s="50"/>
      <c r="B827" s="93" t="s">
        <v>37</v>
      </c>
      <c r="C827" s="16"/>
      <c r="D827" s="52"/>
      <c r="E827" s="51"/>
      <c r="F827" s="52"/>
      <c r="G827" s="52"/>
      <c r="H827" s="52"/>
      <c r="I827" s="52"/>
      <c r="J827" s="52"/>
      <c r="K827" s="52"/>
      <c r="L827" s="60">
        <f>SUM(L828:L830)</f>
        <v>1</v>
      </c>
      <c r="M827" s="60" t="s">
        <v>556</v>
      </c>
      <c r="N827" s="60">
        <f>SUM(N828:N830)</f>
        <v>2</v>
      </c>
      <c r="O827" s="60" t="s">
        <v>556</v>
      </c>
      <c r="P827" s="60" t="s">
        <v>556</v>
      </c>
      <c r="Q827" s="23"/>
      <c r="R827" s="23"/>
      <c r="S827" s="1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7"/>
      <c r="AI827" s="47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7"/>
    </row>
    <row r="828" spans="1:48" s="27" customFormat="1" ht="18.75" customHeight="1">
      <c r="A828" s="12"/>
      <c r="B828" s="97" t="s">
        <v>38</v>
      </c>
      <c r="C828" s="65" t="s">
        <v>457</v>
      </c>
      <c r="D828" s="51"/>
      <c r="E828" s="51"/>
      <c r="F828" s="51"/>
      <c r="G828" s="51">
        <v>1</v>
      </c>
      <c r="H828" s="51">
        <v>1</v>
      </c>
      <c r="I828" s="51">
        <v>1</v>
      </c>
      <c r="J828" s="51">
        <v>1</v>
      </c>
      <c r="K828" s="51">
        <v>1</v>
      </c>
      <c r="L828" s="40" t="s">
        <v>556</v>
      </c>
      <c r="M828" s="40" t="s">
        <v>556</v>
      </c>
      <c r="N828" s="40">
        <v>1</v>
      </c>
      <c r="O828" s="40" t="s">
        <v>556</v>
      </c>
      <c r="P828" s="40" t="s">
        <v>556</v>
      </c>
      <c r="Q828" s="30"/>
      <c r="R828" s="30"/>
      <c r="S828" s="30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</row>
    <row r="829" spans="1:48" s="27" customFormat="1" ht="18.75" customHeight="1">
      <c r="A829" s="12"/>
      <c r="B829" s="97" t="s">
        <v>808</v>
      </c>
      <c r="C829" s="15" t="s">
        <v>809</v>
      </c>
      <c r="D829" s="51"/>
      <c r="E829" s="51"/>
      <c r="F829" s="51"/>
      <c r="G829" s="51">
        <v>1</v>
      </c>
      <c r="H829" s="51">
        <v>1</v>
      </c>
      <c r="I829" s="51">
        <v>1</v>
      </c>
      <c r="J829" s="51">
        <v>1</v>
      </c>
      <c r="K829" s="51">
        <v>1</v>
      </c>
      <c r="L829" s="40" t="s">
        <v>556</v>
      </c>
      <c r="M829" s="40" t="s">
        <v>556</v>
      </c>
      <c r="N829" s="40">
        <v>1</v>
      </c>
      <c r="O829" s="40" t="s">
        <v>556</v>
      </c>
      <c r="P829" s="40" t="s">
        <v>556</v>
      </c>
      <c r="Q829" s="30"/>
      <c r="R829" s="30"/>
      <c r="S829" s="30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</row>
    <row r="830" spans="1:48" s="27" customFormat="1" ht="18.75" customHeight="1">
      <c r="A830" s="12"/>
      <c r="B830" s="97" t="s">
        <v>887</v>
      </c>
      <c r="C830" s="66" t="s">
        <v>888</v>
      </c>
      <c r="D830" s="51"/>
      <c r="E830" s="51"/>
      <c r="F830" s="51"/>
      <c r="G830" s="51">
        <v>1</v>
      </c>
      <c r="H830" s="51">
        <v>1</v>
      </c>
      <c r="I830" s="51">
        <v>1</v>
      </c>
      <c r="J830" s="51">
        <v>1</v>
      </c>
      <c r="K830" s="51">
        <v>1</v>
      </c>
      <c r="L830" s="40">
        <v>1</v>
      </c>
      <c r="M830" s="40" t="s">
        <v>556</v>
      </c>
      <c r="N830" s="40" t="s">
        <v>556</v>
      </c>
      <c r="O830" s="40" t="s">
        <v>556</v>
      </c>
      <c r="P830" s="40" t="s">
        <v>556</v>
      </c>
      <c r="Q830" s="30"/>
      <c r="R830" s="30"/>
      <c r="S830" s="30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</row>
    <row r="831" spans="1:188" s="205" customFormat="1" ht="17.25" customHeight="1">
      <c r="A831" s="13">
        <v>19</v>
      </c>
      <c r="B831" s="92" t="s">
        <v>877</v>
      </c>
      <c r="C831" s="45"/>
      <c r="D831" s="44">
        <v>848</v>
      </c>
      <c r="E831" s="44">
        <v>246</v>
      </c>
      <c r="F831" s="44">
        <v>115</v>
      </c>
      <c r="G831" s="44">
        <v>112</v>
      </c>
      <c r="H831" s="44">
        <v>114</v>
      </c>
      <c r="I831" s="44">
        <v>114</v>
      </c>
      <c r="J831" s="44"/>
      <c r="K831" s="44">
        <v>114</v>
      </c>
      <c r="L831" s="44">
        <f>SUM(L832,L837)</f>
        <v>18</v>
      </c>
      <c r="M831" s="44">
        <v>27</v>
      </c>
      <c r="N831" s="44">
        <v>25</v>
      </c>
      <c r="O831" s="44">
        <v>27</v>
      </c>
      <c r="P831" s="44">
        <v>26</v>
      </c>
      <c r="Q831" s="201" t="s">
        <v>648</v>
      </c>
      <c r="R831" s="201">
        <v>1</v>
      </c>
      <c r="S831" s="202" t="s">
        <v>1042</v>
      </c>
      <c r="T831" s="204"/>
      <c r="U831" s="204"/>
      <c r="V831" s="204"/>
      <c r="W831" s="204"/>
      <c r="X831" s="204"/>
      <c r="Y831" s="204"/>
      <c r="Z831" s="204"/>
      <c r="AA831" s="204"/>
      <c r="AB831" s="204"/>
      <c r="AC831" s="204"/>
      <c r="AD831" s="204"/>
      <c r="AE831" s="204"/>
      <c r="AF831" s="204"/>
      <c r="AG831" s="204"/>
      <c r="AH831" s="204"/>
      <c r="AI831" s="204"/>
      <c r="AJ831" s="204"/>
      <c r="AK831" s="204"/>
      <c r="AL831" s="204"/>
      <c r="AM831" s="204"/>
      <c r="AN831" s="204"/>
      <c r="AO831" s="204"/>
      <c r="AP831" s="204"/>
      <c r="AQ831" s="204"/>
      <c r="AR831" s="204"/>
      <c r="AS831" s="204"/>
      <c r="AT831" s="204"/>
      <c r="AU831" s="204"/>
      <c r="AV831" s="204"/>
      <c r="AW831" s="204"/>
      <c r="AX831" s="204"/>
      <c r="AY831" s="204"/>
      <c r="AZ831" s="204"/>
      <c r="BA831" s="204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  <c r="BZ831" s="204"/>
      <c r="CA831" s="204"/>
      <c r="CB831" s="204"/>
      <c r="CC831" s="204"/>
      <c r="CD831" s="204"/>
      <c r="CE831" s="204"/>
      <c r="CF831" s="204"/>
      <c r="CG831" s="204"/>
      <c r="CH831" s="204"/>
      <c r="CI831" s="204"/>
      <c r="CJ831" s="204"/>
      <c r="CK831" s="204"/>
      <c r="CL831" s="204"/>
      <c r="CM831" s="204"/>
      <c r="CN831" s="204"/>
      <c r="CO831" s="204"/>
      <c r="CP831" s="204"/>
      <c r="CQ831" s="204"/>
      <c r="CR831" s="204"/>
      <c r="CS831" s="204"/>
      <c r="CT831" s="204"/>
      <c r="CU831" s="204"/>
      <c r="CV831" s="204"/>
      <c r="CW831" s="204"/>
      <c r="CX831" s="204"/>
      <c r="CY831" s="204"/>
      <c r="CZ831" s="204"/>
      <c r="DA831" s="204"/>
      <c r="DB831" s="204"/>
      <c r="DC831" s="204"/>
      <c r="DD831" s="204"/>
      <c r="DE831" s="204"/>
      <c r="DF831" s="204"/>
      <c r="DG831" s="204"/>
      <c r="DH831" s="204"/>
      <c r="DI831" s="204"/>
      <c r="DJ831" s="204"/>
      <c r="DK831" s="204"/>
      <c r="DL831" s="204"/>
      <c r="DM831" s="204"/>
      <c r="DN831" s="204"/>
      <c r="DO831" s="204"/>
      <c r="DP831" s="204"/>
      <c r="DQ831" s="204"/>
      <c r="DR831" s="204"/>
      <c r="DS831" s="204"/>
      <c r="DT831" s="204"/>
      <c r="DU831" s="204"/>
      <c r="DV831" s="204"/>
      <c r="DW831" s="204"/>
      <c r="DX831" s="204"/>
      <c r="DY831" s="204"/>
      <c r="DZ831" s="204"/>
      <c r="EA831" s="204"/>
      <c r="EB831" s="204"/>
      <c r="EC831" s="204"/>
      <c r="ED831" s="204"/>
      <c r="EE831" s="204"/>
      <c r="EF831" s="204"/>
      <c r="EG831" s="204"/>
      <c r="EH831" s="204"/>
      <c r="EI831" s="204"/>
      <c r="EJ831" s="204"/>
      <c r="EK831" s="204"/>
      <c r="EL831" s="204"/>
      <c r="EM831" s="204"/>
      <c r="EN831" s="204"/>
      <c r="EO831" s="204"/>
      <c r="EP831" s="204"/>
      <c r="EQ831" s="204"/>
      <c r="ER831" s="204"/>
      <c r="ES831" s="204"/>
      <c r="ET831" s="204"/>
      <c r="EU831" s="204"/>
      <c r="EV831" s="204"/>
      <c r="EW831" s="204"/>
      <c r="EX831" s="204"/>
      <c r="EY831" s="204"/>
      <c r="EZ831" s="204"/>
      <c r="FA831" s="204"/>
      <c r="FB831" s="204"/>
      <c r="FC831" s="204"/>
      <c r="FD831" s="204"/>
      <c r="FE831" s="204"/>
      <c r="FF831" s="204"/>
      <c r="FG831" s="204"/>
      <c r="FH831" s="204"/>
      <c r="FI831" s="204"/>
      <c r="FJ831" s="204"/>
      <c r="FK831" s="204"/>
      <c r="FL831" s="204"/>
      <c r="FM831" s="204"/>
      <c r="FN831" s="204"/>
      <c r="FO831" s="204"/>
      <c r="FP831" s="204"/>
      <c r="FQ831" s="204"/>
      <c r="FR831" s="204"/>
      <c r="FS831" s="204"/>
      <c r="FT831" s="204"/>
      <c r="FU831" s="204"/>
      <c r="FV831" s="204"/>
      <c r="FW831" s="204"/>
      <c r="FX831" s="204"/>
      <c r="FY831" s="204"/>
      <c r="FZ831" s="204"/>
      <c r="GA831" s="204"/>
      <c r="GB831" s="204"/>
      <c r="GC831" s="204"/>
      <c r="GD831" s="204"/>
      <c r="GE831" s="204"/>
      <c r="GF831" s="204"/>
    </row>
    <row r="832" spans="1:57" s="213" customFormat="1" ht="17.25" customHeight="1">
      <c r="A832" s="13"/>
      <c r="B832" s="104" t="s">
        <v>669</v>
      </c>
      <c r="C832" s="15"/>
      <c r="D832" s="60">
        <f>D833+D834+D835+D836</f>
        <v>101</v>
      </c>
      <c r="E832" s="60">
        <f aca="true" t="shared" si="26" ref="E832:P832">E833+E834+E835+E836</f>
        <v>44</v>
      </c>
      <c r="F832" s="60">
        <f t="shared" si="26"/>
        <v>45</v>
      </c>
      <c r="G832" s="60">
        <f t="shared" si="26"/>
        <v>46</v>
      </c>
      <c r="H832" s="60">
        <f t="shared" si="26"/>
        <v>48</v>
      </c>
      <c r="I832" s="60">
        <f t="shared" si="26"/>
        <v>48</v>
      </c>
      <c r="J832" s="60">
        <f t="shared" si="26"/>
        <v>0</v>
      </c>
      <c r="K832" s="60">
        <f t="shared" si="26"/>
        <v>48</v>
      </c>
      <c r="L832" s="60">
        <f t="shared" si="26"/>
        <v>9</v>
      </c>
      <c r="M832" s="60">
        <f t="shared" si="26"/>
        <v>17</v>
      </c>
      <c r="N832" s="60">
        <f t="shared" si="26"/>
        <v>15</v>
      </c>
      <c r="O832" s="60">
        <f t="shared" si="26"/>
        <v>17</v>
      </c>
      <c r="P832" s="60">
        <f t="shared" si="26"/>
        <v>16</v>
      </c>
      <c r="Q832" s="214"/>
      <c r="R832" s="212"/>
      <c r="S832" s="212"/>
      <c r="BA832" s="214"/>
      <c r="BB832" s="212"/>
      <c r="BC832" s="212"/>
      <c r="BD832" s="212"/>
      <c r="BE832" s="212"/>
    </row>
    <row r="833" spans="1:57" s="213" customFormat="1" ht="17.25" customHeight="1">
      <c r="A833" s="13"/>
      <c r="B833" s="105" t="s">
        <v>103</v>
      </c>
      <c r="C833" s="15" t="s">
        <v>449</v>
      </c>
      <c r="D833" s="40">
        <v>44</v>
      </c>
      <c r="E833" s="40">
        <v>20</v>
      </c>
      <c r="F833" s="40"/>
      <c r="G833" s="40"/>
      <c r="H833" s="40"/>
      <c r="I833" s="40"/>
      <c r="J833" s="40"/>
      <c r="K833" s="40"/>
      <c r="L833" s="60"/>
      <c r="M833" s="60">
        <v>5</v>
      </c>
      <c r="N833" s="60">
        <v>5</v>
      </c>
      <c r="O833" s="60">
        <v>5</v>
      </c>
      <c r="P833" s="60">
        <v>6</v>
      </c>
      <c r="Q833" s="214"/>
      <c r="R833" s="212"/>
      <c r="S833" s="212"/>
      <c r="BA833" s="214"/>
      <c r="BB833" s="212"/>
      <c r="BC833" s="212"/>
      <c r="BD833" s="212"/>
      <c r="BE833" s="212"/>
    </row>
    <row r="834" spans="1:57" s="213" customFormat="1" ht="17.25" customHeight="1">
      <c r="A834" s="13"/>
      <c r="B834" s="105" t="s">
        <v>852</v>
      </c>
      <c r="C834" s="15" t="s">
        <v>449</v>
      </c>
      <c r="D834" s="40">
        <v>26</v>
      </c>
      <c r="E834" s="40">
        <v>9</v>
      </c>
      <c r="F834" s="40">
        <v>3</v>
      </c>
      <c r="G834" s="40">
        <v>3</v>
      </c>
      <c r="H834" s="40">
        <v>3</v>
      </c>
      <c r="I834" s="40">
        <v>3</v>
      </c>
      <c r="J834" s="40"/>
      <c r="K834" s="40">
        <v>3</v>
      </c>
      <c r="L834" s="40">
        <v>4</v>
      </c>
      <c r="M834" s="40">
        <v>4</v>
      </c>
      <c r="N834" s="40">
        <v>4</v>
      </c>
      <c r="O834" s="40">
        <v>4</v>
      </c>
      <c r="P834" s="40">
        <v>4</v>
      </c>
      <c r="Q834" s="214"/>
      <c r="R834" s="212"/>
      <c r="S834" s="212"/>
      <c r="BA834" s="214"/>
      <c r="BB834" s="212"/>
      <c r="BC834" s="212"/>
      <c r="BD834" s="212"/>
      <c r="BE834" s="212"/>
    </row>
    <row r="835" spans="1:57" s="213" customFormat="1" ht="17.25" customHeight="1">
      <c r="A835" s="13"/>
      <c r="B835" s="97" t="s">
        <v>853</v>
      </c>
      <c r="C835" s="15" t="s">
        <v>102</v>
      </c>
      <c r="D835" s="40">
        <v>9</v>
      </c>
      <c r="E835" s="40">
        <v>4</v>
      </c>
      <c r="F835" s="40">
        <v>40</v>
      </c>
      <c r="G835" s="40">
        <v>41</v>
      </c>
      <c r="H835" s="40">
        <v>43</v>
      </c>
      <c r="I835" s="40">
        <v>43</v>
      </c>
      <c r="J835" s="40"/>
      <c r="K835" s="40">
        <v>43</v>
      </c>
      <c r="L835" s="40">
        <v>1</v>
      </c>
      <c r="M835" s="40">
        <v>4</v>
      </c>
      <c r="N835" s="40">
        <v>3</v>
      </c>
      <c r="O835" s="40">
        <v>4</v>
      </c>
      <c r="P835" s="40">
        <v>3</v>
      </c>
      <c r="Q835" s="214"/>
      <c r="R835" s="212"/>
      <c r="S835" s="212"/>
      <c r="BA835" s="214"/>
      <c r="BB835" s="212"/>
      <c r="BC835" s="212"/>
      <c r="BD835" s="212"/>
      <c r="BE835" s="212"/>
    </row>
    <row r="836" spans="1:57" s="213" customFormat="1" ht="17.25" customHeight="1">
      <c r="A836" s="13"/>
      <c r="B836" s="105" t="s">
        <v>849</v>
      </c>
      <c r="C836" s="15" t="s">
        <v>565</v>
      </c>
      <c r="D836" s="40">
        <v>22</v>
      </c>
      <c r="E836" s="40">
        <v>11</v>
      </c>
      <c r="F836" s="40">
        <v>2</v>
      </c>
      <c r="G836" s="40">
        <v>2</v>
      </c>
      <c r="H836" s="40">
        <v>2</v>
      </c>
      <c r="I836" s="40">
        <v>2</v>
      </c>
      <c r="J836" s="40"/>
      <c r="K836" s="40">
        <v>2</v>
      </c>
      <c r="L836" s="40">
        <v>4</v>
      </c>
      <c r="M836" s="40">
        <v>4</v>
      </c>
      <c r="N836" s="40">
        <v>3</v>
      </c>
      <c r="O836" s="40">
        <v>4</v>
      </c>
      <c r="P836" s="40">
        <v>3</v>
      </c>
      <c r="Q836" s="214"/>
      <c r="R836" s="212"/>
      <c r="S836" s="212"/>
      <c r="BA836" s="214"/>
      <c r="BB836" s="212"/>
      <c r="BC836" s="212"/>
      <c r="BD836" s="212"/>
      <c r="BE836" s="212"/>
    </row>
    <row r="837" spans="1:57" s="213" customFormat="1" ht="17.25" customHeight="1">
      <c r="A837" s="13"/>
      <c r="B837" s="93" t="s">
        <v>37</v>
      </c>
      <c r="C837" s="15"/>
      <c r="D837" s="60">
        <f>D838+D839+D840+D841</f>
        <v>65</v>
      </c>
      <c r="E837" s="60">
        <f aca="true" t="shared" si="27" ref="E837:P837">E838+E839+E840+E841</f>
        <v>14</v>
      </c>
      <c r="F837" s="60">
        <f t="shared" si="27"/>
        <v>6</v>
      </c>
      <c r="G837" s="60">
        <f t="shared" si="27"/>
        <v>6</v>
      </c>
      <c r="H837" s="60">
        <f t="shared" si="27"/>
        <v>6</v>
      </c>
      <c r="I837" s="60">
        <f t="shared" si="27"/>
        <v>6</v>
      </c>
      <c r="J837" s="60">
        <f t="shared" si="27"/>
        <v>0</v>
      </c>
      <c r="K837" s="60">
        <f t="shared" si="27"/>
        <v>6</v>
      </c>
      <c r="L837" s="60">
        <f t="shared" si="27"/>
        <v>9</v>
      </c>
      <c r="M837" s="60">
        <f t="shared" si="27"/>
        <v>10</v>
      </c>
      <c r="N837" s="60">
        <f t="shared" si="27"/>
        <v>10</v>
      </c>
      <c r="O837" s="60">
        <f t="shared" si="27"/>
        <v>10</v>
      </c>
      <c r="P837" s="60">
        <f t="shared" si="27"/>
        <v>10</v>
      </c>
      <c r="Q837" s="214"/>
      <c r="R837" s="212"/>
      <c r="S837" s="212"/>
      <c r="BA837" s="214"/>
      <c r="BB837" s="212"/>
      <c r="BC837" s="212"/>
      <c r="BD837" s="212"/>
      <c r="BE837" s="212"/>
    </row>
    <row r="838" spans="1:57" s="213" customFormat="1" ht="17.25" customHeight="1">
      <c r="A838" s="13"/>
      <c r="B838" s="105" t="s">
        <v>854</v>
      </c>
      <c r="C838" s="15" t="s">
        <v>609</v>
      </c>
      <c r="D838" s="40">
        <v>31</v>
      </c>
      <c r="E838" s="40">
        <v>7</v>
      </c>
      <c r="F838" s="40">
        <v>2</v>
      </c>
      <c r="G838" s="40">
        <v>2</v>
      </c>
      <c r="H838" s="40">
        <v>2</v>
      </c>
      <c r="I838" s="40">
        <v>2</v>
      </c>
      <c r="J838" s="40"/>
      <c r="K838" s="40">
        <v>2</v>
      </c>
      <c r="L838" s="40">
        <v>3</v>
      </c>
      <c r="M838" s="40">
        <v>3</v>
      </c>
      <c r="N838" s="40">
        <v>4</v>
      </c>
      <c r="O838" s="40">
        <v>3</v>
      </c>
      <c r="P838" s="40">
        <v>4</v>
      </c>
      <c r="Q838" s="214"/>
      <c r="R838" s="212"/>
      <c r="S838" s="212"/>
      <c r="BA838" s="214"/>
      <c r="BB838" s="212"/>
      <c r="BC838" s="212"/>
      <c r="BD838" s="212"/>
      <c r="BE838" s="212"/>
    </row>
    <row r="839" spans="1:57" s="213" customFormat="1" ht="17.25" customHeight="1">
      <c r="A839" s="13"/>
      <c r="B839" s="105" t="s">
        <v>855</v>
      </c>
      <c r="C839" s="15" t="s">
        <v>1089</v>
      </c>
      <c r="D839" s="40">
        <v>21</v>
      </c>
      <c r="E839" s="40">
        <v>3</v>
      </c>
      <c r="F839" s="40">
        <v>1</v>
      </c>
      <c r="G839" s="40">
        <v>1</v>
      </c>
      <c r="H839" s="40">
        <v>1</v>
      </c>
      <c r="I839" s="40">
        <v>1</v>
      </c>
      <c r="J839" s="40"/>
      <c r="K839" s="40">
        <v>1</v>
      </c>
      <c r="L839" s="40">
        <v>3</v>
      </c>
      <c r="M839" s="40">
        <v>3</v>
      </c>
      <c r="N839" s="40">
        <v>3</v>
      </c>
      <c r="O839" s="40">
        <v>3</v>
      </c>
      <c r="P839" s="40">
        <v>3</v>
      </c>
      <c r="Q839" s="214"/>
      <c r="R839" s="212"/>
      <c r="S839" s="212"/>
      <c r="BA839" s="214"/>
      <c r="BB839" s="212"/>
      <c r="BC839" s="212"/>
      <c r="BD839" s="212"/>
      <c r="BE839" s="212"/>
    </row>
    <row r="840" spans="1:57" s="213" customFormat="1" ht="17.25" customHeight="1">
      <c r="A840" s="13"/>
      <c r="B840" s="97" t="s">
        <v>104</v>
      </c>
      <c r="C840" s="15" t="s">
        <v>1092</v>
      </c>
      <c r="D840" s="40">
        <v>8</v>
      </c>
      <c r="E840" s="40">
        <v>3</v>
      </c>
      <c r="F840" s="40">
        <v>2</v>
      </c>
      <c r="G840" s="40">
        <v>2</v>
      </c>
      <c r="H840" s="40">
        <v>2</v>
      </c>
      <c r="I840" s="40">
        <v>2</v>
      </c>
      <c r="J840" s="40"/>
      <c r="K840" s="40">
        <v>2</v>
      </c>
      <c r="L840" s="40">
        <v>1</v>
      </c>
      <c r="M840" s="40">
        <v>2</v>
      </c>
      <c r="N840" s="40">
        <v>1</v>
      </c>
      <c r="O840" s="40">
        <v>2</v>
      </c>
      <c r="P840" s="40">
        <v>2</v>
      </c>
      <c r="Q840" s="214"/>
      <c r="R840" s="212"/>
      <c r="S840" s="212"/>
      <c r="BA840" s="214"/>
      <c r="BB840" s="212"/>
      <c r="BC840" s="212"/>
      <c r="BD840" s="212"/>
      <c r="BE840" s="212"/>
    </row>
    <row r="841" spans="1:57" s="213" customFormat="1" ht="17.25" customHeight="1">
      <c r="A841" s="13"/>
      <c r="B841" s="97" t="s">
        <v>856</v>
      </c>
      <c r="C841" s="321" t="s">
        <v>73</v>
      </c>
      <c r="D841" s="40">
        <v>5</v>
      </c>
      <c r="E841" s="40">
        <v>1</v>
      </c>
      <c r="F841" s="40">
        <v>1</v>
      </c>
      <c r="G841" s="40">
        <v>1</v>
      </c>
      <c r="H841" s="40">
        <v>1</v>
      </c>
      <c r="I841" s="40">
        <v>1</v>
      </c>
      <c r="J841" s="40"/>
      <c r="K841" s="40">
        <v>1</v>
      </c>
      <c r="L841" s="40">
        <v>2</v>
      </c>
      <c r="M841" s="40">
        <v>2</v>
      </c>
      <c r="N841" s="40">
        <v>2</v>
      </c>
      <c r="O841" s="40">
        <v>2</v>
      </c>
      <c r="P841" s="40">
        <v>1</v>
      </c>
      <c r="Q841" s="214"/>
      <c r="R841" s="212"/>
      <c r="S841" s="212"/>
      <c r="BA841" s="214"/>
      <c r="BB841" s="212"/>
      <c r="BC841" s="212"/>
      <c r="BD841" s="212"/>
      <c r="BE841" s="212"/>
    </row>
    <row r="842" spans="1:188" s="57" customFormat="1" ht="17.25" customHeight="1">
      <c r="A842" s="13">
        <v>20</v>
      </c>
      <c r="B842" s="92" t="s">
        <v>203</v>
      </c>
      <c r="C842" s="45"/>
      <c r="D842" s="44">
        <v>121</v>
      </c>
      <c r="E842" s="44">
        <v>20</v>
      </c>
      <c r="F842" s="44">
        <v>115</v>
      </c>
      <c r="G842" s="44">
        <v>112</v>
      </c>
      <c r="H842" s="44">
        <v>114</v>
      </c>
      <c r="I842" s="44">
        <v>114</v>
      </c>
      <c r="J842" s="44"/>
      <c r="K842" s="44">
        <v>114</v>
      </c>
      <c r="L842" s="44">
        <f>SUM(L843,L853)</f>
        <v>16</v>
      </c>
      <c r="M842" s="44">
        <f>SUM(M843,M853)</f>
        <v>2</v>
      </c>
      <c r="N842" s="44">
        <f>SUM(N843,N853)</f>
        <v>3</v>
      </c>
      <c r="O842" s="44">
        <f>SUM(O843,O853)</f>
        <v>6</v>
      </c>
      <c r="P842" s="44">
        <f>SUM(P843,P853)</f>
        <v>2</v>
      </c>
      <c r="Q842" s="54" t="s">
        <v>648</v>
      </c>
      <c r="R842" s="54">
        <v>1</v>
      </c>
      <c r="S842" s="55" t="s">
        <v>1042</v>
      </c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  <c r="AF842" s="56"/>
      <c r="AG842" s="56"/>
      <c r="AH842" s="56"/>
      <c r="AI842" s="56"/>
      <c r="AJ842" s="56"/>
      <c r="AK842" s="56"/>
      <c r="AL842" s="56"/>
      <c r="AM842" s="56"/>
      <c r="AN842" s="56"/>
      <c r="AO842" s="56"/>
      <c r="AP842" s="56"/>
      <c r="AQ842" s="56"/>
      <c r="AR842" s="56"/>
      <c r="AS842" s="56"/>
      <c r="AT842" s="56"/>
      <c r="AU842" s="56"/>
      <c r="AV842" s="56"/>
      <c r="AW842" s="56"/>
      <c r="AX842" s="56"/>
      <c r="AY842" s="56"/>
      <c r="AZ842" s="56"/>
      <c r="BA842" s="56"/>
      <c r="BB842" s="56"/>
      <c r="BC842" s="56"/>
      <c r="BD842" s="56"/>
      <c r="BE842" s="56"/>
      <c r="BF842" s="56"/>
      <c r="BG842" s="56"/>
      <c r="BH842" s="56"/>
      <c r="BI842" s="56"/>
      <c r="BJ842" s="56"/>
      <c r="BK842" s="56"/>
      <c r="BL842" s="56"/>
      <c r="BM842" s="56"/>
      <c r="BN842" s="56"/>
      <c r="BO842" s="56"/>
      <c r="BP842" s="56"/>
      <c r="BQ842" s="56"/>
      <c r="BR842" s="56"/>
      <c r="BS842" s="56"/>
      <c r="BT842" s="56"/>
      <c r="BU842" s="56"/>
      <c r="BV842" s="56"/>
      <c r="BW842" s="56"/>
      <c r="BX842" s="56"/>
      <c r="BY842" s="56"/>
      <c r="BZ842" s="56"/>
      <c r="CA842" s="56"/>
      <c r="CB842" s="56"/>
      <c r="CC842" s="56"/>
      <c r="CD842" s="56"/>
      <c r="CE842" s="56"/>
      <c r="CF842" s="56"/>
      <c r="CG842" s="56"/>
      <c r="CH842" s="56"/>
      <c r="CI842" s="56"/>
      <c r="CJ842" s="56"/>
      <c r="CK842" s="56"/>
      <c r="CL842" s="56"/>
      <c r="CM842" s="56"/>
      <c r="CN842" s="56"/>
      <c r="CO842" s="56"/>
      <c r="CP842" s="56"/>
      <c r="CQ842" s="56"/>
      <c r="CR842" s="56"/>
      <c r="CS842" s="56"/>
      <c r="CT842" s="56"/>
      <c r="CU842" s="56"/>
      <c r="CV842" s="56"/>
      <c r="CW842" s="56"/>
      <c r="CX842" s="56"/>
      <c r="CY842" s="56"/>
      <c r="CZ842" s="56"/>
      <c r="DA842" s="56"/>
      <c r="DB842" s="56"/>
      <c r="DC842" s="56"/>
      <c r="DD842" s="56"/>
      <c r="DE842" s="56"/>
      <c r="DF842" s="56"/>
      <c r="DG842" s="56"/>
      <c r="DH842" s="56"/>
      <c r="DI842" s="56"/>
      <c r="DJ842" s="56"/>
      <c r="DK842" s="56"/>
      <c r="DL842" s="56"/>
      <c r="DM842" s="56"/>
      <c r="DN842" s="56"/>
      <c r="DO842" s="56"/>
      <c r="DP842" s="56"/>
      <c r="DQ842" s="56"/>
      <c r="DR842" s="56"/>
      <c r="DS842" s="56"/>
      <c r="DT842" s="56"/>
      <c r="DU842" s="56"/>
      <c r="DV842" s="56"/>
      <c r="DW842" s="56"/>
      <c r="DX842" s="56"/>
      <c r="DY842" s="56"/>
      <c r="DZ842" s="56"/>
      <c r="EA842" s="56"/>
      <c r="EB842" s="56"/>
      <c r="EC842" s="56"/>
      <c r="ED842" s="56"/>
      <c r="EE842" s="56"/>
      <c r="EF842" s="56"/>
      <c r="EG842" s="56"/>
      <c r="EH842" s="56"/>
      <c r="EI842" s="56"/>
      <c r="EJ842" s="56"/>
      <c r="EK842" s="56"/>
      <c r="EL842" s="56"/>
      <c r="EM842" s="56"/>
      <c r="EN842" s="56"/>
      <c r="EO842" s="56"/>
      <c r="EP842" s="56"/>
      <c r="EQ842" s="56"/>
      <c r="ER842" s="56"/>
      <c r="ES842" s="56"/>
      <c r="ET842" s="56"/>
      <c r="EU842" s="56"/>
      <c r="EV842" s="56"/>
      <c r="EW842" s="56"/>
      <c r="EX842" s="56"/>
      <c r="EY842" s="56"/>
      <c r="EZ842" s="56"/>
      <c r="FA842" s="56"/>
      <c r="FB842" s="56"/>
      <c r="FC842" s="56"/>
      <c r="FD842" s="56"/>
      <c r="FE842" s="56"/>
      <c r="FF842" s="56"/>
      <c r="FG842" s="56"/>
      <c r="FH842" s="56"/>
      <c r="FI842" s="56"/>
      <c r="FJ842" s="56"/>
      <c r="FK842" s="56"/>
      <c r="FL842" s="56"/>
      <c r="FM842" s="56"/>
      <c r="FN842" s="56"/>
      <c r="FO842" s="56"/>
      <c r="FP842" s="56"/>
      <c r="FQ842" s="56"/>
      <c r="FR842" s="56"/>
      <c r="FS842" s="56"/>
      <c r="FT842" s="56"/>
      <c r="FU842" s="56"/>
      <c r="FV842" s="56"/>
      <c r="FW842" s="56"/>
      <c r="FX842" s="56"/>
      <c r="FY842" s="56"/>
      <c r="FZ842" s="56"/>
      <c r="GA842" s="56"/>
      <c r="GB842" s="56"/>
      <c r="GC842" s="56"/>
      <c r="GD842" s="56"/>
      <c r="GE842" s="56"/>
      <c r="GF842" s="56"/>
    </row>
    <row r="843" spans="1:57" s="43" customFormat="1" ht="17.25" customHeight="1">
      <c r="A843" s="13"/>
      <c r="B843" s="104" t="s">
        <v>669</v>
      </c>
      <c r="C843" s="15"/>
      <c r="D843" s="40"/>
      <c r="E843" s="40"/>
      <c r="F843" s="40"/>
      <c r="G843" s="40"/>
      <c r="H843" s="40"/>
      <c r="I843" s="40"/>
      <c r="J843" s="40"/>
      <c r="K843" s="40"/>
      <c r="L843" s="60">
        <f>SUM(L844:L852)</f>
        <v>14</v>
      </c>
      <c r="M843" s="60">
        <f>SUM(M844:M852)</f>
        <v>2</v>
      </c>
      <c r="N843" s="60">
        <f>SUM(N844:N852)</f>
        <v>3</v>
      </c>
      <c r="O843" s="60">
        <f>SUM(O844:O852)</f>
        <v>5</v>
      </c>
      <c r="P843" s="60">
        <f>SUM(P844:P852)</f>
        <v>2</v>
      </c>
      <c r="Q843" s="70"/>
      <c r="R843" s="41"/>
      <c r="S843" s="41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BA843" s="49"/>
      <c r="BB843" s="42"/>
      <c r="BC843" s="42"/>
      <c r="BD843" s="42"/>
      <c r="BE843" s="42"/>
    </row>
    <row r="844" spans="1:57" s="43" customFormat="1" ht="17.25" customHeight="1">
      <c r="A844" s="13"/>
      <c r="B844" s="105" t="s">
        <v>792</v>
      </c>
      <c r="C844" s="15" t="s">
        <v>793</v>
      </c>
      <c r="D844" s="40"/>
      <c r="E844" s="40"/>
      <c r="F844" s="40">
        <v>28</v>
      </c>
      <c r="G844" s="40">
        <v>29</v>
      </c>
      <c r="H844" s="40">
        <v>30</v>
      </c>
      <c r="I844" s="40">
        <v>30</v>
      </c>
      <c r="J844" s="40"/>
      <c r="K844" s="40">
        <v>30</v>
      </c>
      <c r="L844" s="40">
        <v>8</v>
      </c>
      <c r="M844" s="40" t="s">
        <v>556</v>
      </c>
      <c r="N844" s="40" t="s">
        <v>556</v>
      </c>
      <c r="O844" s="40" t="s">
        <v>556</v>
      </c>
      <c r="P844" s="40" t="s">
        <v>556</v>
      </c>
      <c r="Q844" s="70"/>
      <c r="R844" s="41"/>
      <c r="S844" s="41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/>
      <c r="AO844" s="46"/>
      <c r="AP844" s="46"/>
      <c r="AQ844" s="46"/>
      <c r="AR844" s="46"/>
      <c r="AS844" s="46"/>
      <c r="AT844" s="46"/>
      <c r="AU844" s="46"/>
      <c r="AV844" s="46"/>
      <c r="BA844" s="49"/>
      <c r="BB844" s="42"/>
      <c r="BC844" s="42"/>
      <c r="BD844" s="42"/>
      <c r="BE844" s="42"/>
    </row>
    <row r="845" spans="1:57" s="43" customFormat="1" ht="17.25" customHeight="1">
      <c r="A845" s="13"/>
      <c r="B845" s="105" t="s">
        <v>786</v>
      </c>
      <c r="C845" s="15" t="s">
        <v>1296</v>
      </c>
      <c r="D845" s="40"/>
      <c r="E845" s="40"/>
      <c r="F845" s="40">
        <v>13</v>
      </c>
      <c r="G845" s="40">
        <v>14</v>
      </c>
      <c r="H845" s="40">
        <v>14</v>
      </c>
      <c r="I845" s="40">
        <v>14</v>
      </c>
      <c r="J845" s="40"/>
      <c r="K845" s="40">
        <v>14</v>
      </c>
      <c r="L845" s="40" t="s">
        <v>556</v>
      </c>
      <c r="M845" s="40" t="s">
        <v>556</v>
      </c>
      <c r="N845" s="40" t="s">
        <v>556</v>
      </c>
      <c r="O845" s="40">
        <v>1</v>
      </c>
      <c r="P845" s="40" t="s">
        <v>556</v>
      </c>
      <c r="Q845" s="70"/>
      <c r="R845" s="41"/>
      <c r="S845" s="41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  <c r="AT845" s="46"/>
      <c r="AU845" s="46"/>
      <c r="AV845" s="46"/>
      <c r="BA845" s="49"/>
      <c r="BB845" s="42"/>
      <c r="BC845" s="42"/>
      <c r="BD845" s="42"/>
      <c r="BE845" s="42"/>
    </row>
    <row r="846" spans="1:57" s="43" customFormat="1" ht="17.25" customHeight="1">
      <c r="A846" s="13"/>
      <c r="B846" s="105" t="s">
        <v>980</v>
      </c>
      <c r="C846" s="15" t="s">
        <v>981</v>
      </c>
      <c r="D846" s="40"/>
      <c r="E846" s="51"/>
      <c r="F846" s="40">
        <v>2</v>
      </c>
      <c r="G846" s="40">
        <v>2</v>
      </c>
      <c r="H846" s="40">
        <v>2</v>
      </c>
      <c r="I846" s="40">
        <v>2</v>
      </c>
      <c r="J846" s="40"/>
      <c r="K846" s="40">
        <v>2</v>
      </c>
      <c r="L846" s="40">
        <v>1</v>
      </c>
      <c r="M846" s="40" t="s">
        <v>556</v>
      </c>
      <c r="N846" s="40" t="s">
        <v>556</v>
      </c>
      <c r="O846" s="40">
        <v>1</v>
      </c>
      <c r="P846" s="40" t="s">
        <v>556</v>
      </c>
      <c r="Q846" s="70"/>
      <c r="R846" s="41"/>
      <c r="S846" s="41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  <c r="AT846" s="46"/>
      <c r="AU846" s="46"/>
      <c r="AV846" s="46"/>
      <c r="BA846" s="49"/>
      <c r="BB846" s="42"/>
      <c r="BC846" s="42"/>
      <c r="BD846" s="42"/>
      <c r="BE846" s="42"/>
    </row>
    <row r="847" spans="1:57" s="43" customFormat="1" ht="17.25" customHeight="1">
      <c r="A847" s="13"/>
      <c r="B847" s="105" t="s">
        <v>1025</v>
      </c>
      <c r="C847" s="15" t="s">
        <v>1026</v>
      </c>
      <c r="D847" s="40"/>
      <c r="E847" s="40"/>
      <c r="F847" s="40">
        <v>40</v>
      </c>
      <c r="G847" s="40">
        <v>41</v>
      </c>
      <c r="H847" s="40">
        <v>43</v>
      </c>
      <c r="I847" s="40">
        <v>43</v>
      </c>
      <c r="J847" s="40"/>
      <c r="K847" s="40">
        <v>43</v>
      </c>
      <c r="L847" s="40">
        <v>1</v>
      </c>
      <c r="M847" s="40" t="s">
        <v>556</v>
      </c>
      <c r="N847" s="40">
        <v>1</v>
      </c>
      <c r="O847" s="40" t="s">
        <v>556</v>
      </c>
      <c r="P847" s="40" t="s">
        <v>556</v>
      </c>
      <c r="Q847" s="70"/>
      <c r="R847" s="41"/>
      <c r="S847" s="41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BA847" s="49"/>
      <c r="BB847" s="42"/>
      <c r="BC847" s="42"/>
      <c r="BD847" s="42"/>
      <c r="BE847" s="42"/>
    </row>
    <row r="848" spans="1:57" s="43" customFormat="1" ht="17.25" customHeight="1">
      <c r="A848" s="13"/>
      <c r="B848" s="105" t="s">
        <v>1329</v>
      </c>
      <c r="C848" s="66" t="s">
        <v>1330</v>
      </c>
      <c r="D848" s="40"/>
      <c r="E848" s="40"/>
      <c r="F848" s="40">
        <v>2</v>
      </c>
      <c r="G848" s="40">
        <v>2</v>
      </c>
      <c r="H848" s="40">
        <v>2</v>
      </c>
      <c r="I848" s="40">
        <v>2</v>
      </c>
      <c r="J848" s="40"/>
      <c r="K848" s="40">
        <v>2</v>
      </c>
      <c r="L848" s="40">
        <v>1</v>
      </c>
      <c r="M848" s="40" t="s">
        <v>556</v>
      </c>
      <c r="N848" s="40">
        <v>1</v>
      </c>
      <c r="O848" s="40" t="s">
        <v>556</v>
      </c>
      <c r="P848" s="40">
        <v>1</v>
      </c>
      <c r="Q848" s="70"/>
      <c r="R848" s="41"/>
      <c r="S848" s="41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BA848" s="49"/>
      <c r="BB848" s="42"/>
      <c r="BC848" s="42"/>
      <c r="BD848" s="42"/>
      <c r="BE848" s="42"/>
    </row>
    <row r="849" spans="1:57" s="43" customFormat="1" ht="17.25" customHeight="1">
      <c r="A849" s="13"/>
      <c r="B849" s="105" t="s">
        <v>1027</v>
      </c>
      <c r="C849" s="15" t="s">
        <v>1028</v>
      </c>
      <c r="D849" s="40"/>
      <c r="E849" s="51"/>
      <c r="F849" s="40">
        <v>1</v>
      </c>
      <c r="G849" s="40">
        <v>1</v>
      </c>
      <c r="H849" s="40">
        <v>1</v>
      </c>
      <c r="I849" s="40">
        <v>1</v>
      </c>
      <c r="J849" s="40"/>
      <c r="K849" s="40">
        <v>1</v>
      </c>
      <c r="L849" s="40">
        <v>1</v>
      </c>
      <c r="M849" s="40">
        <v>1</v>
      </c>
      <c r="N849" s="40">
        <v>1</v>
      </c>
      <c r="O849" s="40">
        <v>1</v>
      </c>
      <c r="P849" s="40">
        <v>1</v>
      </c>
      <c r="Q849" s="70"/>
      <c r="R849" s="41"/>
      <c r="S849" s="41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BA849" s="49"/>
      <c r="BB849" s="42"/>
      <c r="BC849" s="42"/>
      <c r="BD849" s="42"/>
      <c r="BE849" s="42"/>
    </row>
    <row r="850" spans="1:57" s="43" customFormat="1" ht="17.25" customHeight="1">
      <c r="A850" s="13"/>
      <c r="B850" s="105" t="s">
        <v>928</v>
      </c>
      <c r="C850" s="15" t="s">
        <v>929</v>
      </c>
      <c r="D850" s="40"/>
      <c r="E850" s="40"/>
      <c r="F850" s="40">
        <v>2</v>
      </c>
      <c r="G850" s="40">
        <v>2</v>
      </c>
      <c r="H850" s="40">
        <v>2</v>
      </c>
      <c r="I850" s="40">
        <v>2</v>
      </c>
      <c r="J850" s="40"/>
      <c r="K850" s="40">
        <v>2</v>
      </c>
      <c r="L850" s="40">
        <v>1</v>
      </c>
      <c r="M850" s="40" t="s">
        <v>556</v>
      </c>
      <c r="N850" s="40" t="s">
        <v>556</v>
      </c>
      <c r="O850" s="40" t="s">
        <v>556</v>
      </c>
      <c r="P850" s="40" t="s">
        <v>556</v>
      </c>
      <c r="Q850" s="70"/>
      <c r="R850" s="41"/>
      <c r="S850" s="41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  <c r="AT850" s="46"/>
      <c r="AU850" s="46"/>
      <c r="AV850" s="46"/>
      <c r="BA850" s="49"/>
      <c r="BB850" s="42"/>
      <c r="BC850" s="42"/>
      <c r="BD850" s="42"/>
      <c r="BE850" s="42"/>
    </row>
    <row r="851" spans="1:57" s="43" customFormat="1" ht="17.25" customHeight="1">
      <c r="A851" s="13"/>
      <c r="B851" s="105" t="s">
        <v>448</v>
      </c>
      <c r="C851" s="15" t="s">
        <v>449</v>
      </c>
      <c r="D851" s="40"/>
      <c r="E851" s="40"/>
      <c r="F851" s="40">
        <v>3</v>
      </c>
      <c r="G851" s="40">
        <v>3</v>
      </c>
      <c r="H851" s="40">
        <v>3</v>
      </c>
      <c r="I851" s="40">
        <v>3</v>
      </c>
      <c r="J851" s="40"/>
      <c r="K851" s="40">
        <v>3</v>
      </c>
      <c r="L851" s="40" t="s">
        <v>556</v>
      </c>
      <c r="M851" s="40">
        <v>1</v>
      </c>
      <c r="N851" s="40" t="s">
        <v>556</v>
      </c>
      <c r="O851" s="40">
        <v>1</v>
      </c>
      <c r="P851" s="40" t="s">
        <v>556</v>
      </c>
      <c r="Q851" s="70"/>
      <c r="R851" s="41"/>
      <c r="S851" s="41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  <c r="AT851" s="46"/>
      <c r="AU851" s="46"/>
      <c r="AV851" s="46"/>
      <c r="BA851" s="49"/>
      <c r="BB851" s="42"/>
      <c r="BC851" s="42"/>
      <c r="BD851" s="42"/>
      <c r="BE851" s="42"/>
    </row>
    <row r="852" spans="1:57" s="43" customFormat="1" ht="17.25" customHeight="1">
      <c r="A852" s="13"/>
      <c r="B852" s="105" t="s">
        <v>564</v>
      </c>
      <c r="C852" s="15" t="s">
        <v>565</v>
      </c>
      <c r="D852" s="40"/>
      <c r="E852" s="40"/>
      <c r="F852" s="40">
        <v>2</v>
      </c>
      <c r="G852" s="40">
        <v>2</v>
      </c>
      <c r="H852" s="40">
        <v>2</v>
      </c>
      <c r="I852" s="40">
        <v>2</v>
      </c>
      <c r="J852" s="40"/>
      <c r="K852" s="40">
        <v>2</v>
      </c>
      <c r="L852" s="40">
        <v>1</v>
      </c>
      <c r="M852" s="40" t="s">
        <v>556</v>
      </c>
      <c r="N852" s="40" t="s">
        <v>556</v>
      </c>
      <c r="O852" s="40">
        <v>1</v>
      </c>
      <c r="P852" s="40" t="s">
        <v>556</v>
      </c>
      <c r="Q852" s="70"/>
      <c r="R852" s="41"/>
      <c r="S852" s="41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  <c r="AT852" s="46"/>
      <c r="AU852" s="46"/>
      <c r="AV852" s="46"/>
      <c r="BA852" s="49"/>
      <c r="BB852" s="42"/>
      <c r="BC852" s="42"/>
      <c r="BD852" s="42"/>
      <c r="BE852" s="42"/>
    </row>
    <row r="853" spans="1:57" s="43" customFormat="1" ht="17.25" customHeight="1">
      <c r="A853" s="13"/>
      <c r="B853" s="104" t="s">
        <v>670</v>
      </c>
      <c r="C853" s="15"/>
      <c r="D853" s="40"/>
      <c r="E853" s="40"/>
      <c r="F853" s="40"/>
      <c r="G853" s="40"/>
      <c r="H853" s="40"/>
      <c r="I853" s="40"/>
      <c r="J853" s="40"/>
      <c r="K853" s="40"/>
      <c r="L853" s="60">
        <f>SUM(L854:L854)</f>
        <v>2</v>
      </c>
      <c r="M853" s="60" t="s">
        <v>556</v>
      </c>
      <c r="N853" s="60" t="s">
        <v>556</v>
      </c>
      <c r="O853" s="60">
        <v>1</v>
      </c>
      <c r="P853" s="60" t="s">
        <v>556</v>
      </c>
      <c r="Q853" s="70"/>
      <c r="R853" s="41"/>
      <c r="S853" s="41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  <c r="AT853" s="46"/>
      <c r="AU853" s="46"/>
      <c r="AV853" s="46"/>
      <c r="BA853" s="49"/>
      <c r="BB853" s="42"/>
      <c r="BC853" s="42"/>
      <c r="BD853" s="42"/>
      <c r="BE853" s="42"/>
    </row>
    <row r="854" spans="1:57" s="43" customFormat="1" ht="17.25" customHeight="1">
      <c r="A854" s="13"/>
      <c r="B854" s="97" t="s">
        <v>408</v>
      </c>
      <c r="C854" s="15">
        <v>15100151</v>
      </c>
      <c r="D854" s="40"/>
      <c r="E854" s="40"/>
      <c r="F854" s="40">
        <v>1</v>
      </c>
      <c r="G854" s="40">
        <v>1</v>
      </c>
      <c r="H854" s="40">
        <v>1</v>
      </c>
      <c r="I854" s="40">
        <v>1</v>
      </c>
      <c r="J854" s="40"/>
      <c r="K854" s="40">
        <v>1</v>
      </c>
      <c r="L854" s="40">
        <v>2</v>
      </c>
      <c r="M854" s="40" t="s">
        <v>556</v>
      </c>
      <c r="N854" s="40" t="s">
        <v>556</v>
      </c>
      <c r="O854" s="40">
        <v>1</v>
      </c>
      <c r="P854" s="40" t="s">
        <v>556</v>
      </c>
      <c r="Q854" s="70"/>
      <c r="R854" s="41"/>
      <c r="S854" s="41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BA854" s="49"/>
      <c r="BB854" s="42"/>
      <c r="BC854" s="42"/>
      <c r="BD854" s="42"/>
      <c r="BE854" s="42"/>
    </row>
    <row r="855" spans="1:188" s="57" customFormat="1" ht="17.25" customHeight="1">
      <c r="A855" s="13">
        <v>21</v>
      </c>
      <c r="B855" s="92" t="s">
        <v>955</v>
      </c>
      <c r="C855" s="45"/>
      <c r="D855" s="44">
        <v>350</v>
      </c>
      <c r="E855" s="44">
        <v>63</v>
      </c>
      <c r="F855" s="44">
        <v>115</v>
      </c>
      <c r="G855" s="44">
        <v>112</v>
      </c>
      <c r="H855" s="44">
        <v>114</v>
      </c>
      <c r="I855" s="44">
        <v>114</v>
      </c>
      <c r="J855" s="44"/>
      <c r="K855" s="44">
        <v>114</v>
      </c>
      <c r="L855" s="44">
        <f>L856</f>
        <v>2</v>
      </c>
      <c r="M855" s="44">
        <f>M856</f>
        <v>1</v>
      </c>
      <c r="N855" s="44">
        <f>N856</f>
        <v>3</v>
      </c>
      <c r="O855" s="44">
        <f>O856</f>
        <v>2</v>
      </c>
      <c r="P855" s="44">
        <f>P856</f>
        <v>1</v>
      </c>
      <c r="Q855" s="54" t="s">
        <v>648</v>
      </c>
      <c r="R855" s="54">
        <v>1</v>
      </c>
      <c r="S855" s="55" t="s">
        <v>1042</v>
      </c>
      <c r="T855" s="56"/>
      <c r="U855" s="56"/>
      <c r="V855" s="56"/>
      <c r="W855" s="56"/>
      <c r="X855" s="56"/>
      <c r="Y855" s="56"/>
      <c r="Z855" s="56"/>
      <c r="AA855" s="56"/>
      <c r="AB855" s="56"/>
      <c r="AC855" s="56"/>
      <c r="AD855" s="56"/>
      <c r="AE855" s="56"/>
      <c r="AF855" s="56"/>
      <c r="AG855" s="56"/>
      <c r="AH855" s="56"/>
      <c r="AI855" s="56"/>
      <c r="AJ855" s="56"/>
      <c r="AK855" s="56"/>
      <c r="AL855" s="56"/>
      <c r="AM855" s="56"/>
      <c r="AN855" s="56"/>
      <c r="AO855" s="56"/>
      <c r="AP855" s="56"/>
      <c r="AQ855" s="56"/>
      <c r="AR855" s="56"/>
      <c r="AS855" s="56"/>
      <c r="AT855" s="56"/>
      <c r="AU855" s="56"/>
      <c r="AV855" s="56"/>
      <c r="AW855" s="56"/>
      <c r="AX855" s="56"/>
      <c r="AY855" s="56"/>
      <c r="AZ855" s="56"/>
      <c r="BA855" s="56"/>
      <c r="BB855" s="56"/>
      <c r="BC855" s="56"/>
      <c r="BD855" s="56"/>
      <c r="BE855" s="56"/>
      <c r="BF855" s="56"/>
      <c r="BG855" s="56"/>
      <c r="BH855" s="56"/>
      <c r="BI855" s="56"/>
      <c r="BJ855" s="56"/>
      <c r="BK855" s="56"/>
      <c r="BL855" s="56"/>
      <c r="BM855" s="56"/>
      <c r="BN855" s="56"/>
      <c r="BO855" s="56"/>
      <c r="BP855" s="56"/>
      <c r="BQ855" s="56"/>
      <c r="BR855" s="56"/>
      <c r="BS855" s="56"/>
      <c r="BT855" s="56"/>
      <c r="BU855" s="56"/>
      <c r="BV855" s="56"/>
      <c r="BW855" s="56"/>
      <c r="BX855" s="56"/>
      <c r="BY855" s="56"/>
      <c r="BZ855" s="56"/>
      <c r="CA855" s="56"/>
      <c r="CB855" s="56"/>
      <c r="CC855" s="56"/>
      <c r="CD855" s="56"/>
      <c r="CE855" s="56"/>
      <c r="CF855" s="56"/>
      <c r="CG855" s="56"/>
      <c r="CH855" s="56"/>
      <c r="CI855" s="56"/>
      <c r="CJ855" s="56"/>
      <c r="CK855" s="56"/>
      <c r="CL855" s="56"/>
      <c r="CM855" s="56"/>
      <c r="CN855" s="56"/>
      <c r="CO855" s="56"/>
      <c r="CP855" s="56"/>
      <c r="CQ855" s="56"/>
      <c r="CR855" s="56"/>
      <c r="CS855" s="56"/>
      <c r="CT855" s="56"/>
      <c r="CU855" s="56"/>
      <c r="CV855" s="56"/>
      <c r="CW855" s="56"/>
      <c r="CX855" s="56"/>
      <c r="CY855" s="56"/>
      <c r="CZ855" s="56"/>
      <c r="DA855" s="56"/>
      <c r="DB855" s="56"/>
      <c r="DC855" s="56"/>
      <c r="DD855" s="56"/>
      <c r="DE855" s="56"/>
      <c r="DF855" s="56"/>
      <c r="DG855" s="56"/>
      <c r="DH855" s="56"/>
      <c r="DI855" s="56"/>
      <c r="DJ855" s="56"/>
      <c r="DK855" s="56"/>
      <c r="DL855" s="56"/>
      <c r="DM855" s="56"/>
      <c r="DN855" s="56"/>
      <c r="DO855" s="56"/>
      <c r="DP855" s="56"/>
      <c r="DQ855" s="56"/>
      <c r="DR855" s="56"/>
      <c r="DS855" s="56"/>
      <c r="DT855" s="56"/>
      <c r="DU855" s="56"/>
      <c r="DV855" s="56"/>
      <c r="DW855" s="56"/>
      <c r="DX855" s="56"/>
      <c r="DY855" s="56"/>
      <c r="DZ855" s="56"/>
      <c r="EA855" s="56"/>
      <c r="EB855" s="56"/>
      <c r="EC855" s="56"/>
      <c r="ED855" s="56"/>
      <c r="EE855" s="56"/>
      <c r="EF855" s="56"/>
      <c r="EG855" s="56"/>
      <c r="EH855" s="56"/>
      <c r="EI855" s="56"/>
      <c r="EJ855" s="56"/>
      <c r="EK855" s="56"/>
      <c r="EL855" s="56"/>
      <c r="EM855" s="56"/>
      <c r="EN855" s="56"/>
      <c r="EO855" s="56"/>
      <c r="EP855" s="56"/>
      <c r="EQ855" s="56"/>
      <c r="ER855" s="56"/>
      <c r="ES855" s="56"/>
      <c r="ET855" s="56"/>
      <c r="EU855" s="56"/>
      <c r="EV855" s="56"/>
      <c r="EW855" s="56"/>
      <c r="EX855" s="56"/>
      <c r="EY855" s="56"/>
      <c r="EZ855" s="56"/>
      <c r="FA855" s="56"/>
      <c r="FB855" s="56"/>
      <c r="FC855" s="56"/>
      <c r="FD855" s="56"/>
      <c r="FE855" s="56"/>
      <c r="FF855" s="56"/>
      <c r="FG855" s="56"/>
      <c r="FH855" s="56"/>
      <c r="FI855" s="56"/>
      <c r="FJ855" s="56"/>
      <c r="FK855" s="56"/>
      <c r="FL855" s="56"/>
      <c r="FM855" s="56"/>
      <c r="FN855" s="56"/>
      <c r="FO855" s="56"/>
      <c r="FP855" s="56"/>
      <c r="FQ855" s="56"/>
      <c r="FR855" s="56"/>
      <c r="FS855" s="56"/>
      <c r="FT855" s="56"/>
      <c r="FU855" s="56"/>
      <c r="FV855" s="56"/>
      <c r="FW855" s="56"/>
      <c r="FX855" s="56"/>
      <c r="FY855" s="56"/>
      <c r="FZ855" s="56"/>
      <c r="GA855" s="56"/>
      <c r="GB855" s="56"/>
      <c r="GC855" s="56"/>
      <c r="GD855" s="56"/>
      <c r="GE855" s="56"/>
      <c r="GF855" s="56"/>
    </row>
    <row r="856" spans="1:57" s="43" customFormat="1" ht="17.25" customHeight="1">
      <c r="A856" s="13"/>
      <c r="B856" s="104" t="s">
        <v>669</v>
      </c>
      <c r="C856" s="15"/>
      <c r="D856" s="40"/>
      <c r="E856" s="40"/>
      <c r="F856" s="40"/>
      <c r="G856" s="40"/>
      <c r="H856" s="40"/>
      <c r="I856" s="40"/>
      <c r="J856" s="40"/>
      <c r="K856" s="40"/>
      <c r="L856" s="60">
        <f>SUM(L857:L861)</f>
        <v>2</v>
      </c>
      <c r="M856" s="60">
        <f>SUM(M857:M861)</f>
        <v>1</v>
      </c>
      <c r="N856" s="60">
        <f>SUM(N857:N861)</f>
        <v>3</v>
      </c>
      <c r="O856" s="60">
        <f>SUM(O857:O861)</f>
        <v>2</v>
      </c>
      <c r="P856" s="60">
        <f>SUM(P857:P861)</f>
        <v>1</v>
      </c>
      <c r="Q856" s="70"/>
      <c r="R856" s="41"/>
      <c r="S856" s="41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BA856" s="49"/>
      <c r="BB856" s="42"/>
      <c r="BC856" s="42"/>
      <c r="BD856" s="42"/>
      <c r="BE856" s="42"/>
    </row>
    <row r="857" spans="1:57" s="43" customFormat="1" ht="17.25" customHeight="1">
      <c r="A857" s="13"/>
      <c r="B857" s="105" t="s">
        <v>1303</v>
      </c>
      <c r="C857" s="15">
        <v>15050334</v>
      </c>
      <c r="D857" s="40"/>
      <c r="E857" s="40"/>
      <c r="F857" s="40">
        <v>28</v>
      </c>
      <c r="G857" s="40">
        <v>29</v>
      </c>
      <c r="H857" s="40">
        <v>30</v>
      </c>
      <c r="I857" s="40">
        <v>30</v>
      </c>
      <c r="J857" s="40"/>
      <c r="K857" s="40">
        <v>30</v>
      </c>
      <c r="L857" s="40">
        <v>1</v>
      </c>
      <c r="M857" s="40">
        <v>1</v>
      </c>
      <c r="N857" s="40">
        <v>1</v>
      </c>
      <c r="O857" s="40" t="s">
        <v>556</v>
      </c>
      <c r="P857" s="40" t="s">
        <v>556</v>
      </c>
      <c r="Q857" s="70"/>
      <c r="R857" s="41"/>
      <c r="S857" s="41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  <c r="AT857" s="46"/>
      <c r="AU857" s="46"/>
      <c r="AV857" s="46"/>
      <c r="BA857" s="49"/>
      <c r="BB857" s="42"/>
      <c r="BC857" s="42"/>
      <c r="BD857" s="42"/>
      <c r="BE857" s="42"/>
    </row>
    <row r="858" spans="1:57" s="43" customFormat="1" ht="17.25" customHeight="1">
      <c r="A858" s="13"/>
      <c r="B858" s="105" t="s">
        <v>899</v>
      </c>
      <c r="C858" s="15">
        <v>15050133</v>
      </c>
      <c r="D858" s="40"/>
      <c r="E858" s="40"/>
      <c r="F858" s="40">
        <v>13</v>
      </c>
      <c r="G858" s="40">
        <v>14</v>
      </c>
      <c r="H858" s="40">
        <v>14</v>
      </c>
      <c r="I858" s="40">
        <v>14</v>
      </c>
      <c r="J858" s="40"/>
      <c r="K858" s="40">
        <v>14</v>
      </c>
      <c r="L858" s="40" t="s">
        <v>556</v>
      </c>
      <c r="M858" s="40" t="s">
        <v>556</v>
      </c>
      <c r="N858" s="40">
        <v>1</v>
      </c>
      <c r="O858" s="40">
        <v>1</v>
      </c>
      <c r="P858" s="40" t="s">
        <v>556</v>
      </c>
      <c r="Q858" s="70"/>
      <c r="R858" s="41"/>
      <c r="S858" s="41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  <c r="AT858" s="46"/>
      <c r="AU858" s="46"/>
      <c r="AV858" s="46"/>
      <c r="BA858" s="49"/>
      <c r="BB858" s="42"/>
      <c r="BC858" s="42"/>
      <c r="BD858" s="42"/>
      <c r="BE858" s="42"/>
    </row>
    <row r="859" spans="1:57" s="43" customFormat="1" ht="17.25" customHeight="1">
      <c r="A859" s="13"/>
      <c r="B859" s="97" t="s">
        <v>1320</v>
      </c>
      <c r="C859" s="29" t="s">
        <v>1322</v>
      </c>
      <c r="D859" s="40"/>
      <c r="E859" s="51"/>
      <c r="F859" s="40">
        <v>2</v>
      </c>
      <c r="G859" s="40">
        <v>2</v>
      </c>
      <c r="H859" s="40">
        <v>2</v>
      </c>
      <c r="I859" s="40">
        <v>2</v>
      </c>
      <c r="J859" s="40"/>
      <c r="K859" s="40">
        <v>2</v>
      </c>
      <c r="L859" s="40">
        <v>1</v>
      </c>
      <c r="M859" s="40" t="s">
        <v>556</v>
      </c>
      <c r="N859" s="40">
        <v>1</v>
      </c>
      <c r="O859" s="40" t="s">
        <v>556</v>
      </c>
      <c r="P859" s="40" t="s">
        <v>556</v>
      </c>
      <c r="Q859" s="70"/>
      <c r="R859" s="41"/>
      <c r="S859" s="41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  <c r="AL859" s="46"/>
      <c r="AM859" s="46"/>
      <c r="AN859" s="46"/>
      <c r="AO859" s="46"/>
      <c r="AP859" s="46"/>
      <c r="AQ859" s="46"/>
      <c r="AR859" s="46"/>
      <c r="AS859" s="46"/>
      <c r="AT859" s="46"/>
      <c r="AU859" s="46"/>
      <c r="AV859" s="46"/>
      <c r="BA859" s="49"/>
      <c r="BB859" s="42"/>
      <c r="BC859" s="42"/>
      <c r="BD859" s="42"/>
      <c r="BE859" s="42"/>
    </row>
    <row r="860" spans="1:57" s="43" customFormat="1" ht="17.25" customHeight="1">
      <c r="A860" s="13"/>
      <c r="B860" s="97" t="s">
        <v>1316</v>
      </c>
      <c r="C860" s="29" t="s">
        <v>1317</v>
      </c>
      <c r="D860" s="40"/>
      <c r="E860" s="40"/>
      <c r="F860" s="40">
        <v>40</v>
      </c>
      <c r="G860" s="40">
        <v>41</v>
      </c>
      <c r="H860" s="40">
        <v>43</v>
      </c>
      <c r="I860" s="40">
        <v>43</v>
      </c>
      <c r="J860" s="40"/>
      <c r="K860" s="40">
        <v>43</v>
      </c>
      <c r="L860" s="40" t="s">
        <v>556</v>
      </c>
      <c r="M860" s="40" t="s">
        <v>556</v>
      </c>
      <c r="N860" s="40" t="s">
        <v>556</v>
      </c>
      <c r="O860" s="40">
        <v>1</v>
      </c>
      <c r="P860" s="40">
        <v>1</v>
      </c>
      <c r="Q860" s="70"/>
      <c r="R860" s="41"/>
      <c r="S860" s="41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  <c r="AO860" s="46"/>
      <c r="AP860" s="46"/>
      <c r="AQ860" s="46"/>
      <c r="AR860" s="46"/>
      <c r="AS860" s="46"/>
      <c r="AT860" s="46"/>
      <c r="AU860" s="46"/>
      <c r="AV860" s="46"/>
      <c r="BA860" s="49"/>
      <c r="BB860" s="42"/>
      <c r="BC860" s="42"/>
      <c r="BD860" s="42"/>
      <c r="BE860" s="42"/>
    </row>
    <row r="861" spans="1:57" s="43" customFormat="1" ht="17.25" customHeight="1">
      <c r="A861" s="13"/>
      <c r="B861" s="97" t="s">
        <v>408</v>
      </c>
      <c r="C861" s="15">
        <v>15100151</v>
      </c>
      <c r="D861" s="40"/>
      <c r="E861" s="40"/>
      <c r="F861" s="40">
        <v>1</v>
      </c>
      <c r="G861" s="40">
        <v>1</v>
      </c>
      <c r="H861" s="40">
        <v>1</v>
      </c>
      <c r="I861" s="40">
        <v>1</v>
      </c>
      <c r="J861" s="40"/>
      <c r="K861" s="40">
        <v>1</v>
      </c>
      <c r="L861" s="40" t="s">
        <v>556</v>
      </c>
      <c r="M861" s="40" t="s">
        <v>556</v>
      </c>
      <c r="N861" s="40" t="s">
        <v>556</v>
      </c>
      <c r="O861" s="40" t="s">
        <v>556</v>
      </c>
      <c r="P861" s="40" t="s">
        <v>556</v>
      </c>
      <c r="Q861" s="70"/>
      <c r="R861" s="41"/>
      <c r="S861" s="41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  <c r="AT861" s="46"/>
      <c r="AU861" s="46"/>
      <c r="AV861" s="46"/>
      <c r="BA861" s="49"/>
      <c r="BB861" s="42"/>
      <c r="BC861" s="42"/>
      <c r="BD861" s="42"/>
      <c r="BE861" s="42"/>
    </row>
    <row r="862" spans="1:19" ht="13.5" customHeight="1">
      <c r="A862" s="400" t="s">
        <v>909</v>
      </c>
      <c r="B862" s="400"/>
      <c r="C862" s="400"/>
      <c r="D862" s="400"/>
      <c r="E862" s="400"/>
      <c r="F862" s="400"/>
      <c r="G862" s="400"/>
      <c r="H862" s="400"/>
      <c r="I862" s="400"/>
      <c r="J862" s="400"/>
      <c r="K862" s="400"/>
      <c r="L862" s="400"/>
      <c r="M862" s="400"/>
      <c r="N862" s="400"/>
      <c r="O862" s="400"/>
      <c r="P862" s="400"/>
      <c r="Q862" s="21"/>
      <c r="R862" s="21"/>
      <c r="S862" s="8"/>
    </row>
    <row r="863" spans="1:188" s="57" customFormat="1" ht="18" customHeight="1">
      <c r="A863" s="13">
        <v>22</v>
      </c>
      <c r="B863" s="92" t="s">
        <v>201</v>
      </c>
      <c r="C863" s="45"/>
      <c r="D863" s="44">
        <v>80</v>
      </c>
      <c r="E863" s="44">
        <v>6</v>
      </c>
      <c r="F863" s="44"/>
      <c r="G863" s="44">
        <v>89</v>
      </c>
      <c r="H863" s="44">
        <v>89</v>
      </c>
      <c r="I863" s="44">
        <v>89</v>
      </c>
      <c r="J863" s="44">
        <v>90</v>
      </c>
      <c r="K863" s="44">
        <v>91</v>
      </c>
      <c r="L863" s="44">
        <f>L864</f>
        <v>9</v>
      </c>
      <c r="M863" s="44">
        <v>2</v>
      </c>
      <c r="N863" s="44">
        <f>N864</f>
        <v>2</v>
      </c>
      <c r="O863" s="44">
        <f>O864</f>
        <v>2</v>
      </c>
      <c r="P863" s="44">
        <f>P864</f>
        <v>1</v>
      </c>
      <c r="Q863" s="54" t="s">
        <v>648</v>
      </c>
      <c r="R863" s="54">
        <v>1</v>
      </c>
      <c r="S863" s="55" t="s">
        <v>1056</v>
      </c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  <c r="AF863" s="56"/>
      <c r="AG863" s="56"/>
      <c r="AH863" s="56"/>
      <c r="AI863" s="56"/>
      <c r="AJ863" s="56"/>
      <c r="AK863" s="56"/>
      <c r="AL863" s="56"/>
      <c r="AM863" s="56"/>
      <c r="AN863" s="56"/>
      <c r="AO863" s="56"/>
      <c r="AP863" s="56"/>
      <c r="AQ863" s="56"/>
      <c r="AR863" s="56"/>
      <c r="AS863" s="56"/>
      <c r="AT863" s="56"/>
      <c r="AU863" s="56"/>
      <c r="AV863" s="56"/>
      <c r="AW863" s="56"/>
      <c r="AX863" s="56"/>
      <c r="AY863" s="56"/>
      <c r="AZ863" s="56"/>
      <c r="BA863" s="56"/>
      <c r="BB863" s="56"/>
      <c r="BC863" s="56"/>
      <c r="BD863" s="56"/>
      <c r="BE863" s="56"/>
      <c r="BF863" s="56"/>
      <c r="BG863" s="56"/>
      <c r="BH863" s="56"/>
      <c r="BI863" s="56"/>
      <c r="BJ863" s="56"/>
      <c r="BK863" s="56"/>
      <c r="BL863" s="56"/>
      <c r="BM863" s="56"/>
      <c r="BN863" s="56"/>
      <c r="BO863" s="56"/>
      <c r="BP863" s="56"/>
      <c r="BQ863" s="56"/>
      <c r="BR863" s="56"/>
      <c r="BS863" s="56"/>
      <c r="BT863" s="56"/>
      <c r="BU863" s="56"/>
      <c r="BV863" s="56"/>
      <c r="BW863" s="56"/>
      <c r="BX863" s="56"/>
      <c r="BY863" s="56"/>
      <c r="BZ863" s="56"/>
      <c r="CA863" s="56"/>
      <c r="CB863" s="56"/>
      <c r="CC863" s="56"/>
      <c r="CD863" s="56"/>
      <c r="CE863" s="56"/>
      <c r="CF863" s="56"/>
      <c r="CG863" s="56"/>
      <c r="CH863" s="56"/>
      <c r="CI863" s="56"/>
      <c r="CJ863" s="56"/>
      <c r="CK863" s="56"/>
      <c r="CL863" s="56"/>
      <c r="CM863" s="56"/>
      <c r="CN863" s="56"/>
      <c r="CO863" s="56"/>
      <c r="CP863" s="56"/>
      <c r="CQ863" s="56"/>
      <c r="CR863" s="56"/>
      <c r="CS863" s="56"/>
      <c r="CT863" s="56"/>
      <c r="CU863" s="56"/>
      <c r="CV863" s="56"/>
      <c r="CW863" s="56"/>
      <c r="CX863" s="56"/>
      <c r="CY863" s="56"/>
      <c r="CZ863" s="56"/>
      <c r="DA863" s="56"/>
      <c r="DB863" s="56"/>
      <c r="DC863" s="56"/>
      <c r="DD863" s="56"/>
      <c r="DE863" s="56"/>
      <c r="DF863" s="56"/>
      <c r="DG863" s="56"/>
      <c r="DH863" s="56"/>
      <c r="DI863" s="56"/>
      <c r="DJ863" s="56"/>
      <c r="DK863" s="56"/>
      <c r="DL863" s="56"/>
      <c r="DM863" s="56"/>
      <c r="DN863" s="56"/>
      <c r="DO863" s="56"/>
      <c r="DP863" s="56"/>
      <c r="DQ863" s="56"/>
      <c r="DR863" s="56"/>
      <c r="DS863" s="56"/>
      <c r="DT863" s="56"/>
      <c r="DU863" s="56"/>
      <c r="DV863" s="56"/>
      <c r="DW863" s="56"/>
      <c r="DX863" s="56"/>
      <c r="DY863" s="56"/>
      <c r="DZ863" s="56"/>
      <c r="EA863" s="56"/>
      <c r="EB863" s="56"/>
      <c r="EC863" s="56"/>
      <c r="ED863" s="56"/>
      <c r="EE863" s="56"/>
      <c r="EF863" s="56"/>
      <c r="EG863" s="56"/>
      <c r="EH863" s="56"/>
      <c r="EI863" s="56"/>
      <c r="EJ863" s="56"/>
      <c r="EK863" s="56"/>
      <c r="EL863" s="56"/>
      <c r="EM863" s="56"/>
      <c r="EN863" s="56"/>
      <c r="EO863" s="56"/>
      <c r="EP863" s="56"/>
      <c r="EQ863" s="56"/>
      <c r="ER863" s="56"/>
      <c r="ES863" s="56"/>
      <c r="ET863" s="56"/>
      <c r="EU863" s="56"/>
      <c r="EV863" s="56"/>
      <c r="EW863" s="56"/>
      <c r="EX863" s="56"/>
      <c r="EY863" s="56"/>
      <c r="EZ863" s="56"/>
      <c r="FA863" s="56"/>
      <c r="FB863" s="56"/>
      <c r="FC863" s="56"/>
      <c r="FD863" s="56"/>
      <c r="FE863" s="56"/>
      <c r="FF863" s="56"/>
      <c r="FG863" s="56"/>
      <c r="FH863" s="56"/>
      <c r="FI863" s="56"/>
      <c r="FJ863" s="56"/>
      <c r="FK863" s="56"/>
      <c r="FL863" s="56"/>
      <c r="FM863" s="56"/>
      <c r="FN863" s="56"/>
      <c r="FO863" s="56"/>
      <c r="FP863" s="56"/>
      <c r="FQ863" s="56"/>
      <c r="FR863" s="56"/>
      <c r="FS863" s="56"/>
      <c r="FT863" s="56"/>
      <c r="FU863" s="56"/>
      <c r="FV863" s="56"/>
      <c r="FW863" s="56"/>
      <c r="FX863" s="56"/>
      <c r="FY863" s="56"/>
      <c r="FZ863" s="56"/>
      <c r="GA863" s="56"/>
      <c r="GB863" s="56"/>
      <c r="GC863" s="56"/>
      <c r="GD863" s="56"/>
      <c r="GE863" s="56"/>
      <c r="GF863" s="56"/>
    </row>
    <row r="864" spans="1:57" s="43" customFormat="1" ht="17.25" customHeight="1">
      <c r="A864" s="13"/>
      <c r="B864" s="104" t="s">
        <v>669</v>
      </c>
      <c r="C864" s="45"/>
      <c r="D864" s="44"/>
      <c r="E864" s="44"/>
      <c r="F864" s="44"/>
      <c r="G864" s="44"/>
      <c r="H864" s="44"/>
      <c r="I864" s="40"/>
      <c r="J864" s="40"/>
      <c r="K864" s="40"/>
      <c r="L864" s="60">
        <f>SUM(L865:L866)</f>
        <v>9</v>
      </c>
      <c r="M864" s="60" t="s">
        <v>556</v>
      </c>
      <c r="N864" s="60">
        <f>SUM(N865:N866)</f>
        <v>2</v>
      </c>
      <c r="O864" s="60">
        <f>SUM(O865:O866)</f>
        <v>2</v>
      </c>
      <c r="P864" s="60">
        <f>SUM(P865:P866)</f>
        <v>1</v>
      </c>
      <c r="Q864" s="70"/>
      <c r="R864" s="41"/>
      <c r="S864" s="41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  <c r="AT864" s="46"/>
      <c r="AU864" s="46"/>
      <c r="AV864" s="46"/>
      <c r="BA864" s="49"/>
      <c r="BB864" s="42"/>
      <c r="BC864" s="42"/>
      <c r="BD864" s="42"/>
      <c r="BE864" s="42"/>
    </row>
    <row r="865" spans="1:57" s="43" customFormat="1" ht="18" customHeight="1">
      <c r="A865" s="13"/>
      <c r="B865" s="97" t="s">
        <v>54</v>
      </c>
      <c r="C865" s="29" t="s">
        <v>55</v>
      </c>
      <c r="D865" s="40"/>
      <c r="E865" s="40"/>
      <c r="F865" s="40"/>
      <c r="G865" s="40">
        <v>24</v>
      </c>
      <c r="H865" s="40">
        <v>24</v>
      </c>
      <c r="I865" s="40">
        <v>24</v>
      </c>
      <c r="J865" s="40">
        <v>24</v>
      </c>
      <c r="K865" s="40">
        <v>25</v>
      </c>
      <c r="L865" s="40">
        <v>7</v>
      </c>
      <c r="M865" s="40" t="s">
        <v>556</v>
      </c>
      <c r="N865" s="40">
        <v>2</v>
      </c>
      <c r="O865" s="40">
        <v>1</v>
      </c>
      <c r="P865" s="40">
        <v>1</v>
      </c>
      <c r="Q865" s="70"/>
      <c r="R865" s="41"/>
      <c r="S865" s="41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  <c r="AT865" s="46"/>
      <c r="AU865" s="46"/>
      <c r="AV865" s="46"/>
      <c r="BA865" s="49"/>
      <c r="BB865" s="42"/>
      <c r="BC865" s="42"/>
      <c r="BD865" s="42"/>
      <c r="BE865" s="42"/>
    </row>
    <row r="866" spans="1:48" s="43" customFormat="1" ht="17.25" customHeight="1">
      <c r="A866" s="13"/>
      <c r="B866" s="97" t="s">
        <v>545</v>
      </c>
      <c r="C866" s="29" t="s">
        <v>546</v>
      </c>
      <c r="D866" s="40"/>
      <c r="E866" s="40"/>
      <c r="F866" s="40"/>
      <c r="G866" s="40">
        <v>5</v>
      </c>
      <c r="H866" s="40">
        <v>5</v>
      </c>
      <c r="I866" s="40">
        <v>5</v>
      </c>
      <c r="J866" s="40">
        <v>6</v>
      </c>
      <c r="K866" s="40">
        <v>6</v>
      </c>
      <c r="L866" s="40">
        <v>2</v>
      </c>
      <c r="M866" s="40" t="s">
        <v>556</v>
      </c>
      <c r="N866" s="40" t="s">
        <v>556</v>
      </c>
      <c r="O866" s="40">
        <v>1</v>
      </c>
      <c r="P866" s="40" t="s">
        <v>556</v>
      </c>
      <c r="Q866" s="70"/>
      <c r="R866" s="70"/>
      <c r="S866" s="70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  <c r="AT866" s="46"/>
      <c r="AU866" s="46"/>
      <c r="AV866" s="46"/>
    </row>
    <row r="867" spans="1:48" s="18" customFormat="1" ht="15" customHeight="1">
      <c r="A867" s="50"/>
      <c r="B867" s="93" t="s">
        <v>670</v>
      </c>
      <c r="C867" s="16"/>
      <c r="D867" s="52"/>
      <c r="E867" s="51"/>
      <c r="F867" s="52"/>
      <c r="G867" s="52"/>
      <c r="H867" s="52"/>
      <c r="I867" s="52"/>
      <c r="J867" s="52"/>
      <c r="K867" s="52"/>
      <c r="L867" s="60" t="s">
        <v>556</v>
      </c>
      <c r="M867" s="60">
        <v>2</v>
      </c>
      <c r="N867" s="60" t="s">
        <v>556</v>
      </c>
      <c r="O867" s="60" t="s">
        <v>556</v>
      </c>
      <c r="P867" s="60" t="s">
        <v>556</v>
      </c>
      <c r="Q867" s="23"/>
      <c r="R867" s="23"/>
      <c r="S867" s="1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7"/>
      <c r="AI867" s="47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47"/>
    </row>
    <row r="868" spans="1:48" s="27" customFormat="1" ht="19.5" customHeight="1">
      <c r="A868" s="12"/>
      <c r="B868" s="97" t="s">
        <v>646</v>
      </c>
      <c r="C868" s="29" t="s">
        <v>597</v>
      </c>
      <c r="D868" s="51"/>
      <c r="E868" s="51"/>
      <c r="F868" s="51"/>
      <c r="G868" s="51">
        <v>6</v>
      </c>
      <c r="H868" s="51">
        <v>6</v>
      </c>
      <c r="I868" s="51">
        <v>6</v>
      </c>
      <c r="J868" s="51">
        <v>6</v>
      </c>
      <c r="K868" s="51">
        <v>6</v>
      </c>
      <c r="L868" s="40" t="s">
        <v>556</v>
      </c>
      <c r="M868" s="40">
        <v>2</v>
      </c>
      <c r="N868" s="40" t="s">
        <v>556</v>
      </c>
      <c r="O868" s="40" t="s">
        <v>556</v>
      </c>
      <c r="P868" s="40" t="s">
        <v>556</v>
      </c>
      <c r="Q868" s="33"/>
      <c r="R868" s="33"/>
      <c r="S868" s="33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</row>
    <row r="869" spans="1:188" s="57" customFormat="1" ht="18.75" customHeight="1">
      <c r="A869" s="13">
        <v>23</v>
      </c>
      <c r="B869" s="92" t="s">
        <v>943</v>
      </c>
      <c r="C869" s="45"/>
      <c r="D869" s="44">
        <v>43</v>
      </c>
      <c r="E869" s="44">
        <v>11</v>
      </c>
      <c r="F869" s="44">
        <v>96</v>
      </c>
      <c r="G869" s="44">
        <v>42</v>
      </c>
      <c r="H869" s="44">
        <v>42</v>
      </c>
      <c r="I869" s="44">
        <v>41</v>
      </c>
      <c r="J869" s="44">
        <v>41</v>
      </c>
      <c r="K869" s="44">
        <v>41</v>
      </c>
      <c r="L869" s="44">
        <f>L870</f>
        <v>3</v>
      </c>
      <c r="M869" s="44">
        <f>M870</f>
        <v>3</v>
      </c>
      <c r="N869" s="44">
        <f>N870</f>
        <v>5</v>
      </c>
      <c r="O869" s="44">
        <f>O870</f>
        <v>3</v>
      </c>
      <c r="P869" s="44">
        <f>P870</f>
        <v>2</v>
      </c>
      <c r="Q869" s="123" t="e">
        <f>#REF!</f>
        <v>#REF!</v>
      </c>
      <c r="R869" s="44" t="e">
        <f>#REF!</f>
        <v>#REF!</v>
      </c>
      <c r="S869" s="44" t="e">
        <f>#REF!</f>
        <v>#REF!</v>
      </c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  <c r="AE869" s="56"/>
      <c r="AF869" s="56"/>
      <c r="AG869" s="56"/>
      <c r="AH869" s="56"/>
      <c r="AI869" s="56"/>
      <c r="AJ869" s="56"/>
      <c r="AK869" s="56"/>
      <c r="AL869" s="56"/>
      <c r="AM869" s="56"/>
      <c r="AN869" s="56"/>
      <c r="AO869" s="56"/>
      <c r="AP869" s="56"/>
      <c r="AQ869" s="56"/>
      <c r="AR869" s="56"/>
      <c r="AS869" s="56"/>
      <c r="AT869" s="56"/>
      <c r="AU869" s="56"/>
      <c r="AV869" s="56"/>
      <c r="AW869" s="56"/>
      <c r="AX869" s="56"/>
      <c r="AY869" s="56"/>
      <c r="AZ869" s="56"/>
      <c r="BA869" s="56"/>
      <c r="BB869" s="56"/>
      <c r="BC869" s="56"/>
      <c r="BD869" s="56"/>
      <c r="BE869" s="56"/>
      <c r="BF869" s="56"/>
      <c r="BG869" s="56"/>
      <c r="BH869" s="56"/>
      <c r="BI869" s="56"/>
      <c r="BJ869" s="56"/>
      <c r="BK869" s="56"/>
      <c r="BL869" s="56"/>
      <c r="BM869" s="56"/>
      <c r="BN869" s="56"/>
      <c r="BO869" s="56"/>
      <c r="BP869" s="56"/>
      <c r="BQ869" s="56"/>
      <c r="BR869" s="56"/>
      <c r="BS869" s="56"/>
      <c r="BT869" s="56"/>
      <c r="BU869" s="56"/>
      <c r="BV869" s="56"/>
      <c r="BW869" s="56"/>
      <c r="BX869" s="56"/>
      <c r="BY869" s="56"/>
      <c r="BZ869" s="56"/>
      <c r="CA869" s="56"/>
      <c r="CB869" s="56"/>
      <c r="CC869" s="56"/>
      <c r="CD869" s="56"/>
      <c r="CE869" s="56"/>
      <c r="CF869" s="56"/>
      <c r="CG869" s="56"/>
      <c r="CH869" s="56"/>
      <c r="CI869" s="56"/>
      <c r="CJ869" s="56"/>
      <c r="CK869" s="56"/>
      <c r="CL869" s="56"/>
      <c r="CM869" s="56"/>
      <c r="CN869" s="56"/>
      <c r="CO869" s="56"/>
      <c r="CP869" s="56"/>
      <c r="CQ869" s="56"/>
      <c r="CR869" s="56"/>
      <c r="CS869" s="56"/>
      <c r="CT869" s="56"/>
      <c r="CU869" s="56"/>
      <c r="CV869" s="56"/>
      <c r="CW869" s="56"/>
      <c r="CX869" s="56"/>
      <c r="CY869" s="56"/>
      <c r="CZ869" s="56"/>
      <c r="DA869" s="56"/>
      <c r="DB869" s="56"/>
      <c r="DC869" s="56"/>
      <c r="DD869" s="56"/>
      <c r="DE869" s="56"/>
      <c r="DF869" s="56"/>
      <c r="DG869" s="56"/>
      <c r="DH869" s="56"/>
      <c r="DI869" s="56"/>
      <c r="DJ869" s="56"/>
      <c r="DK869" s="56"/>
      <c r="DL869" s="56"/>
      <c r="DM869" s="56"/>
      <c r="DN869" s="56"/>
      <c r="DO869" s="56"/>
      <c r="DP869" s="56"/>
      <c r="DQ869" s="56"/>
      <c r="DR869" s="56"/>
      <c r="DS869" s="56"/>
      <c r="DT869" s="56"/>
      <c r="DU869" s="56"/>
      <c r="DV869" s="56"/>
      <c r="DW869" s="56"/>
      <c r="DX869" s="56"/>
      <c r="DY869" s="56"/>
      <c r="DZ869" s="56"/>
      <c r="EA869" s="56"/>
      <c r="EB869" s="56"/>
      <c r="EC869" s="56"/>
      <c r="ED869" s="56"/>
      <c r="EE869" s="56"/>
      <c r="EF869" s="56"/>
      <c r="EG869" s="56"/>
      <c r="EH869" s="56"/>
      <c r="EI869" s="56"/>
      <c r="EJ869" s="56"/>
      <c r="EK869" s="56"/>
      <c r="EL869" s="56"/>
      <c r="EM869" s="56"/>
      <c r="EN869" s="56"/>
      <c r="EO869" s="56"/>
      <c r="EP869" s="56"/>
      <c r="EQ869" s="56"/>
      <c r="ER869" s="56"/>
      <c r="ES869" s="56"/>
      <c r="ET869" s="56"/>
      <c r="EU869" s="56"/>
      <c r="EV869" s="56"/>
      <c r="EW869" s="56"/>
      <c r="EX869" s="56"/>
      <c r="EY869" s="56"/>
      <c r="EZ869" s="56"/>
      <c r="FA869" s="56"/>
      <c r="FB869" s="56"/>
      <c r="FC869" s="56"/>
      <c r="FD869" s="56"/>
      <c r="FE869" s="56"/>
      <c r="FF869" s="56"/>
      <c r="FG869" s="56"/>
      <c r="FH869" s="56"/>
      <c r="FI869" s="56"/>
      <c r="FJ869" s="56"/>
      <c r="FK869" s="56"/>
      <c r="FL869" s="56"/>
      <c r="FM869" s="56"/>
      <c r="FN869" s="56"/>
      <c r="FO869" s="56"/>
      <c r="FP869" s="56"/>
      <c r="FQ869" s="56"/>
      <c r="FR869" s="56"/>
      <c r="FS869" s="56"/>
      <c r="FT869" s="56"/>
      <c r="FU869" s="56"/>
      <c r="FV869" s="56"/>
      <c r="FW869" s="56"/>
      <c r="FX869" s="56"/>
      <c r="FY869" s="56"/>
      <c r="FZ869" s="56"/>
      <c r="GA869" s="56"/>
      <c r="GB869" s="56"/>
      <c r="GC869" s="56"/>
      <c r="GD869" s="56"/>
      <c r="GE869" s="56"/>
      <c r="GF869" s="56"/>
    </row>
    <row r="870" spans="1:57" s="43" customFormat="1" ht="15" customHeight="1">
      <c r="A870" s="13"/>
      <c r="B870" s="104" t="s">
        <v>669</v>
      </c>
      <c r="C870" s="45"/>
      <c r="D870" s="44"/>
      <c r="E870" s="44"/>
      <c r="F870" s="44"/>
      <c r="G870" s="44"/>
      <c r="H870" s="44"/>
      <c r="I870" s="40"/>
      <c r="J870" s="40"/>
      <c r="K870" s="40"/>
      <c r="L870" s="60">
        <f>SUM(L871:L874)</f>
        <v>3</v>
      </c>
      <c r="M870" s="60">
        <f>SUM(M871:M874)</f>
        <v>3</v>
      </c>
      <c r="N870" s="60">
        <f>SUM(N871:N874)</f>
        <v>5</v>
      </c>
      <c r="O870" s="60">
        <f>SUM(O871:O874)</f>
        <v>3</v>
      </c>
      <c r="P870" s="60">
        <f>SUM(P871:P874)</f>
        <v>2</v>
      </c>
      <c r="Q870" s="70"/>
      <c r="R870" s="41"/>
      <c r="S870" s="41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BA870" s="49"/>
      <c r="BB870" s="42"/>
      <c r="BC870" s="42"/>
      <c r="BD870" s="42"/>
      <c r="BE870" s="42"/>
    </row>
    <row r="871" spans="1:57" s="43" customFormat="1" ht="18" customHeight="1">
      <c r="A871" s="13"/>
      <c r="B871" s="105" t="s">
        <v>414</v>
      </c>
      <c r="C871" s="15" t="s">
        <v>1026</v>
      </c>
      <c r="D871" s="40"/>
      <c r="E871" s="40"/>
      <c r="F871" s="40">
        <v>10</v>
      </c>
      <c r="G871" s="40">
        <v>14</v>
      </c>
      <c r="H871" s="40">
        <v>14</v>
      </c>
      <c r="I871" s="40">
        <v>14</v>
      </c>
      <c r="J871" s="40">
        <v>14</v>
      </c>
      <c r="K871" s="40">
        <v>14</v>
      </c>
      <c r="L871" s="40">
        <v>2</v>
      </c>
      <c r="M871" s="40">
        <v>2</v>
      </c>
      <c r="N871" s="40">
        <v>3</v>
      </c>
      <c r="O871" s="40">
        <v>2</v>
      </c>
      <c r="P871" s="40">
        <v>2</v>
      </c>
      <c r="Q871" s="70"/>
      <c r="R871" s="41"/>
      <c r="S871" s="41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BA871" s="49"/>
      <c r="BB871" s="42"/>
      <c r="BC871" s="42"/>
      <c r="BD871" s="42"/>
      <c r="BE871" s="42"/>
    </row>
    <row r="872" spans="1:48" s="43" customFormat="1" ht="18" customHeight="1">
      <c r="A872" s="13"/>
      <c r="B872" s="97" t="s">
        <v>1320</v>
      </c>
      <c r="C872" s="29" t="s">
        <v>1322</v>
      </c>
      <c r="D872" s="40"/>
      <c r="E872" s="40"/>
      <c r="F872" s="40"/>
      <c r="G872" s="40">
        <v>3</v>
      </c>
      <c r="H872" s="40">
        <v>3</v>
      </c>
      <c r="I872" s="40">
        <v>3</v>
      </c>
      <c r="J872" s="40">
        <v>3</v>
      </c>
      <c r="K872" s="40">
        <v>3</v>
      </c>
      <c r="L872" s="40">
        <v>1</v>
      </c>
      <c r="M872" s="40" t="s">
        <v>556</v>
      </c>
      <c r="N872" s="40" t="s">
        <v>556</v>
      </c>
      <c r="O872" s="40" t="s">
        <v>556</v>
      </c>
      <c r="P872" s="40" t="s">
        <v>556</v>
      </c>
      <c r="Q872" s="70"/>
      <c r="R872" s="70"/>
      <c r="S872" s="70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</row>
    <row r="873" spans="1:48" s="43" customFormat="1" ht="15.75" customHeight="1">
      <c r="A873" s="13"/>
      <c r="B873" s="97" t="s">
        <v>564</v>
      </c>
      <c r="C873" s="29" t="s">
        <v>565</v>
      </c>
      <c r="D873" s="40"/>
      <c r="E873" s="40"/>
      <c r="F873" s="40"/>
      <c r="G873" s="40">
        <v>4</v>
      </c>
      <c r="H873" s="40">
        <v>4</v>
      </c>
      <c r="I873" s="40">
        <v>4</v>
      </c>
      <c r="J873" s="40">
        <v>4</v>
      </c>
      <c r="K873" s="40">
        <v>4</v>
      </c>
      <c r="L873" s="40" t="s">
        <v>556</v>
      </c>
      <c r="M873" s="40">
        <v>1</v>
      </c>
      <c r="N873" s="40">
        <v>1</v>
      </c>
      <c r="O873" s="40">
        <v>1</v>
      </c>
      <c r="P873" s="40" t="s">
        <v>556</v>
      </c>
      <c r="Q873" s="70"/>
      <c r="R873" s="70"/>
      <c r="S873" s="70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</row>
    <row r="874" spans="1:48" s="43" customFormat="1" ht="16.5" customHeight="1">
      <c r="A874" s="13"/>
      <c r="B874" s="105" t="s">
        <v>1032</v>
      </c>
      <c r="C874" s="15" t="s">
        <v>1033</v>
      </c>
      <c r="D874" s="40"/>
      <c r="E874" s="40"/>
      <c r="F874" s="40"/>
      <c r="G874" s="40">
        <v>5</v>
      </c>
      <c r="H874" s="40">
        <v>5</v>
      </c>
      <c r="I874" s="40">
        <v>5</v>
      </c>
      <c r="J874" s="40">
        <v>5</v>
      </c>
      <c r="K874" s="40">
        <v>5</v>
      </c>
      <c r="L874" s="40" t="s">
        <v>556</v>
      </c>
      <c r="M874" s="40" t="s">
        <v>556</v>
      </c>
      <c r="N874" s="40">
        <v>1</v>
      </c>
      <c r="O874" s="40" t="s">
        <v>556</v>
      </c>
      <c r="P874" s="40" t="s">
        <v>556</v>
      </c>
      <c r="Q874" s="70"/>
      <c r="R874" s="70"/>
      <c r="S874" s="70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</row>
    <row r="875" spans="1:188" s="57" customFormat="1" ht="18.75" customHeight="1">
      <c r="A875" s="13">
        <v>24</v>
      </c>
      <c r="B875" s="92" t="s">
        <v>81</v>
      </c>
      <c r="C875" s="45"/>
      <c r="D875" s="44">
        <v>79</v>
      </c>
      <c r="E875" s="44">
        <v>10</v>
      </c>
      <c r="F875" s="44">
        <v>96</v>
      </c>
      <c r="G875" s="44">
        <v>42</v>
      </c>
      <c r="H875" s="44">
        <v>42</v>
      </c>
      <c r="I875" s="44">
        <v>41</v>
      </c>
      <c r="J875" s="44">
        <v>41</v>
      </c>
      <c r="K875" s="44">
        <v>41</v>
      </c>
      <c r="L875" s="44">
        <f>L876</f>
        <v>3</v>
      </c>
      <c r="M875" s="44">
        <f>M876</f>
        <v>2</v>
      </c>
      <c r="N875" s="44">
        <f>N876</f>
        <v>2</v>
      </c>
      <c r="O875" s="44">
        <f>O876</f>
        <v>3</v>
      </c>
      <c r="P875" s="44">
        <f>P876</f>
        <v>4</v>
      </c>
      <c r="Q875" s="123" t="e">
        <f>#REF!</f>
        <v>#REF!</v>
      </c>
      <c r="R875" s="44" t="e">
        <f>#REF!</f>
        <v>#REF!</v>
      </c>
      <c r="S875" s="44" t="e">
        <f>#REF!</f>
        <v>#REF!</v>
      </c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  <c r="AE875" s="56"/>
      <c r="AF875" s="56"/>
      <c r="AG875" s="56"/>
      <c r="AH875" s="56"/>
      <c r="AI875" s="56"/>
      <c r="AJ875" s="56"/>
      <c r="AK875" s="56"/>
      <c r="AL875" s="56"/>
      <c r="AM875" s="56"/>
      <c r="AN875" s="56"/>
      <c r="AO875" s="56"/>
      <c r="AP875" s="56"/>
      <c r="AQ875" s="56"/>
      <c r="AR875" s="56"/>
      <c r="AS875" s="56"/>
      <c r="AT875" s="56"/>
      <c r="AU875" s="56"/>
      <c r="AV875" s="56"/>
      <c r="AW875" s="56"/>
      <c r="AX875" s="56"/>
      <c r="AY875" s="56"/>
      <c r="AZ875" s="56"/>
      <c r="BA875" s="56"/>
      <c r="BB875" s="56"/>
      <c r="BC875" s="56"/>
      <c r="BD875" s="56"/>
      <c r="BE875" s="56"/>
      <c r="BF875" s="56"/>
      <c r="BG875" s="56"/>
      <c r="BH875" s="56"/>
      <c r="BI875" s="56"/>
      <c r="BJ875" s="56"/>
      <c r="BK875" s="56"/>
      <c r="BL875" s="56"/>
      <c r="BM875" s="56"/>
      <c r="BN875" s="56"/>
      <c r="BO875" s="56"/>
      <c r="BP875" s="56"/>
      <c r="BQ875" s="56"/>
      <c r="BR875" s="56"/>
      <c r="BS875" s="56"/>
      <c r="BT875" s="56"/>
      <c r="BU875" s="56"/>
      <c r="BV875" s="56"/>
      <c r="BW875" s="56"/>
      <c r="BX875" s="56"/>
      <c r="BY875" s="56"/>
      <c r="BZ875" s="56"/>
      <c r="CA875" s="56"/>
      <c r="CB875" s="56"/>
      <c r="CC875" s="56"/>
      <c r="CD875" s="56"/>
      <c r="CE875" s="56"/>
      <c r="CF875" s="56"/>
      <c r="CG875" s="56"/>
      <c r="CH875" s="56"/>
      <c r="CI875" s="56"/>
      <c r="CJ875" s="56"/>
      <c r="CK875" s="56"/>
      <c r="CL875" s="56"/>
      <c r="CM875" s="56"/>
      <c r="CN875" s="56"/>
      <c r="CO875" s="56"/>
      <c r="CP875" s="56"/>
      <c r="CQ875" s="56"/>
      <c r="CR875" s="56"/>
      <c r="CS875" s="56"/>
      <c r="CT875" s="56"/>
      <c r="CU875" s="56"/>
      <c r="CV875" s="56"/>
      <c r="CW875" s="56"/>
      <c r="CX875" s="56"/>
      <c r="CY875" s="56"/>
      <c r="CZ875" s="56"/>
      <c r="DA875" s="56"/>
      <c r="DB875" s="56"/>
      <c r="DC875" s="56"/>
      <c r="DD875" s="56"/>
      <c r="DE875" s="56"/>
      <c r="DF875" s="56"/>
      <c r="DG875" s="56"/>
      <c r="DH875" s="56"/>
      <c r="DI875" s="56"/>
      <c r="DJ875" s="56"/>
      <c r="DK875" s="56"/>
      <c r="DL875" s="56"/>
      <c r="DM875" s="56"/>
      <c r="DN875" s="56"/>
      <c r="DO875" s="56"/>
      <c r="DP875" s="56"/>
      <c r="DQ875" s="56"/>
      <c r="DR875" s="56"/>
      <c r="DS875" s="56"/>
      <c r="DT875" s="56"/>
      <c r="DU875" s="56"/>
      <c r="DV875" s="56"/>
      <c r="DW875" s="56"/>
      <c r="DX875" s="56"/>
      <c r="DY875" s="56"/>
      <c r="DZ875" s="56"/>
      <c r="EA875" s="56"/>
      <c r="EB875" s="56"/>
      <c r="EC875" s="56"/>
      <c r="ED875" s="56"/>
      <c r="EE875" s="56"/>
      <c r="EF875" s="56"/>
      <c r="EG875" s="56"/>
      <c r="EH875" s="56"/>
      <c r="EI875" s="56"/>
      <c r="EJ875" s="56"/>
      <c r="EK875" s="56"/>
      <c r="EL875" s="56"/>
      <c r="EM875" s="56"/>
      <c r="EN875" s="56"/>
      <c r="EO875" s="56"/>
      <c r="EP875" s="56"/>
      <c r="EQ875" s="56"/>
      <c r="ER875" s="56"/>
      <c r="ES875" s="56"/>
      <c r="ET875" s="56"/>
      <c r="EU875" s="56"/>
      <c r="EV875" s="56"/>
      <c r="EW875" s="56"/>
      <c r="EX875" s="56"/>
      <c r="EY875" s="56"/>
      <c r="EZ875" s="56"/>
      <c r="FA875" s="56"/>
      <c r="FB875" s="56"/>
      <c r="FC875" s="56"/>
      <c r="FD875" s="56"/>
      <c r="FE875" s="56"/>
      <c r="FF875" s="56"/>
      <c r="FG875" s="56"/>
      <c r="FH875" s="56"/>
      <c r="FI875" s="56"/>
      <c r="FJ875" s="56"/>
      <c r="FK875" s="56"/>
      <c r="FL875" s="56"/>
      <c r="FM875" s="56"/>
      <c r="FN875" s="56"/>
      <c r="FO875" s="56"/>
      <c r="FP875" s="56"/>
      <c r="FQ875" s="56"/>
      <c r="FR875" s="56"/>
      <c r="FS875" s="56"/>
      <c r="FT875" s="56"/>
      <c r="FU875" s="56"/>
      <c r="FV875" s="56"/>
      <c r="FW875" s="56"/>
      <c r="FX875" s="56"/>
      <c r="FY875" s="56"/>
      <c r="FZ875" s="56"/>
      <c r="GA875" s="56"/>
      <c r="GB875" s="56"/>
      <c r="GC875" s="56"/>
      <c r="GD875" s="56"/>
      <c r="GE875" s="56"/>
      <c r="GF875" s="56"/>
    </row>
    <row r="876" spans="1:57" s="43" customFormat="1" ht="15" customHeight="1">
      <c r="A876" s="13"/>
      <c r="B876" s="104" t="s">
        <v>669</v>
      </c>
      <c r="C876" s="45"/>
      <c r="D876" s="44"/>
      <c r="E876" s="44"/>
      <c r="F876" s="44"/>
      <c r="G876" s="44"/>
      <c r="H876" s="44"/>
      <c r="I876" s="40"/>
      <c r="J876" s="40"/>
      <c r="K876" s="40"/>
      <c r="L876" s="60">
        <f>SUM(L877:L878)</f>
        <v>3</v>
      </c>
      <c r="M876" s="60">
        <f>SUM(M877:M878)</f>
        <v>2</v>
      </c>
      <c r="N876" s="60">
        <f>SUM(N877:N878)</f>
        <v>2</v>
      </c>
      <c r="O876" s="60">
        <f>SUM(O877:O878)</f>
        <v>3</v>
      </c>
      <c r="P876" s="60">
        <f>SUM(P877:P878)</f>
        <v>4</v>
      </c>
      <c r="Q876" s="70"/>
      <c r="R876" s="41"/>
      <c r="S876" s="41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BA876" s="49"/>
      <c r="BB876" s="42"/>
      <c r="BC876" s="42"/>
      <c r="BD876" s="42"/>
      <c r="BE876" s="42"/>
    </row>
    <row r="877" spans="1:57" s="43" customFormat="1" ht="18" customHeight="1">
      <c r="A877" s="13"/>
      <c r="B877" s="105" t="s">
        <v>421</v>
      </c>
      <c r="C877" s="15" t="s">
        <v>1315</v>
      </c>
      <c r="D877" s="40"/>
      <c r="E877" s="40"/>
      <c r="F877" s="40">
        <v>10</v>
      </c>
      <c r="G877" s="40">
        <v>14</v>
      </c>
      <c r="H877" s="40">
        <v>14</v>
      </c>
      <c r="I877" s="40">
        <v>14</v>
      </c>
      <c r="J877" s="40">
        <v>14</v>
      </c>
      <c r="K877" s="40">
        <v>14</v>
      </c>
      <c r="L877" s="40">
        <v>2</v>
      </c>
      <c r="M877" s="40">
        <v>2</v>
      </c>
      <c r="N877" s="40">
        <v>1</v>
      </c>
      <c r="O877" s="40">
        <v>1</v>
      </c>
      <c r="P877" s="40">
        <v>2</v>
      </c>
      <c r="Q877" s="70"/>
      <c r="R877" s="41"/>
      <c r="S877" s="41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  <c r="AT877" s="46"/>
      <c r="AU877" s="46"/>
      <c r="AV877" s="46"/>
      <c r="BA877" s="49"/>
      <c r="BB877" s="42"/>
      <c r="BC877" s="42"/>
      <c r="BD877" s="42"/>
      <c r="BE877" s="42"/>
    </row>
    <row r="878" spans="1:48" s="43" customFormat="1" ht="18" customHeight="1">
      <c r="A878" s="13"/>
      <c r="B878" s="97" t="s">
        <v>1316</v>
      </c>
      <c r="C878" s="29" t="s">
        <v>1317</v>
      </c>
      <c r="D878" s="40"/>
      <c r="E878" s="40"/>
      <c r="F878" s="40"/>
      <c r="G878" s="40">
        <v>3</v>
      </c>
      <c r="H878" s="40">
        <v>3</v>
      </c>
      <c r="I878" s="40">
        <v>3</v>
      </c>
      <c r="J878" s="40">
        <v>3</v>
      </c>
      <c r="K878" s="40">
        <v>3</v>
      </c>
      <c r="L878" s="40">
        <v>1</v>
      </c>
      <c r="M878" s="40" t="s">
        <v>556</v>
      </c>
      <c r="N878" s="40">
        <v>1</v>
      </c>
      <c r="O878" s="40">
        <v>2</v>
      </c>
      <c r="P878" s="40">
        <v>2</v>
      </c>
      <c r="Q878" s="70"/>
      <c r="R878" s="70"/>
      <c r="S878" s="70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  <c r="AT878" s="46"/>
      <c r="AU878" s="46"/>
      <c r="AV878" s="46"/>
    </row>
    <row r="879" spans="1:188" s="57" customFormat="1" ht="18.75" customHeight="1">
      <c r="A879" s="13">
        <v>25</v>
      </c>
      <c r="B879" s="92" t="s">
        <v>79</v>
      </c>
      <c r="C879" s="45"/>
      <c r="D879" s="44">
        <v>65</v>
      </c>
      <c r="E879" s="44">
        <v>1</v>
      </c>
      <c r="F879" s="44">
        <v>96</v>
      </c>
      <c r="G879" s="44">
        <v>42</v>
      </c>
      <c r="H879" s="44">
        <v>42</v>
      </c>
      <c r="I879" s="44">
        <v>41</v>
      </c>
      <c r="J879" s="44">
        <v>41</v>
      </c>
      <c r="K879" s="44">
        <v>41</v>
      </c>
      <c r="L879" s="44">
        <v>28</v>
      </c>
      <c r="M879" s="44" t="str">
        <f aca="true" t="shared" si="28" ref="M879:O880">M880</f>
        <v> -</v>
      </c>
      <c r="N879" s="44" t="str">
        <f t="shared" si="28"/>
        <v> -</v>
      </c>
      <c r="O879" s="44" t="str">
        <f t="shared" si="28"/>
        <v> -</v>
      </c>
      <c r="P879" s="44">
        <v>31</v>
      </c>
      <c r="Q879" s="123" t="e">
        <f>#REF!</f>
        <v>#REF!</v>
      </c>
      <c r="R879" s="44" t="e">
        <f>#REF!</f>
        <v>#REF!</v>
      </c>
      <c r="S879" s="44" t="e">
        <f>#REF!</f>
        <v>#REF!</v>
      </c>
      <c r="T879" s="56"/>
      <c r="U879" s="56"/>
      <c r="V879" s="56"/>
      <c r="W879" s="56"/>
      <c r="X879" s="56"/>
      <c r="Y879" s="56"/>
      <c r="Z879" s="56"/>
      <c r="AA879" s="56"/>
      <c r="AB879" s="56"/>
      <c r="AC879" s="56"/>
      <c r="AD879" s="56"/>
      <c r="AE879" s="56"/>
      <c r="AF879" s="56"/>
      <c r="AG879" s="56"/>
      <c r="AH879" s="56"/>
      <c r="AI879" s="56"/>
      <c r="AJ879" s="56"/>
      <c r="AK879" s="56"/>
      <c r="AL879" s="56"/>
      <c r="AM879" s="56"/>
      <c r="AN879" s="56"/>
      <c r="AO879" s="56"/>
      <c r="AP879" s="56"/>
      <c r="AQ879" s="56"/>
      <c r="AR879" s="56"/>
      <c r="AS879" s="56"/>
      <c r="AT879" s="56"/>
      <c r="AU879" s="56"/>
      <c r="AV879" s="56"/>
      <c r="AW879" s="56"/>
      <c r="AX879" s="56"/>
      <c r="AY879" s="56"/>
      <c r="AZ879" s="56"/>
      <c r="BA879" s="56"/>
      <c r="BB879" s="56"/>
      <c r="BC879" s="56"/>
      <c r="BD879" s="56"/>
      <c r="BE879" s="56"/>
      <c r="BF879" s="56"/>
      <c r="BG879" s="56"/>
      <c r="BH879" s="56"/>
      <c r="BI879" s="56"/>
      <c r="BJ879" s="56"/>
      <c r="BK879" s="56"/>
      <c r="BL879" s="56"/>
      <c r="BM879" s="56"/>
      <c r="BN879" s="56"/>
      <c r="BO879" s="56"/>
      <c r="BP879" s="56"/>
      <c r="BQ879" s="56"/>
      <c r="BR879" s="56"/>
      <c r="BS879" s="56"/>
      <c r="BT879" s="56"/>
      <c r="BU879" s="56"/>
      <c r="BV879" s="56"/>
      <c r="BW879" s="56"/>
      <c r="BX879" s="56"/>
      <c r="BY879" s="56"/>
      <c r="BZ879" s="56"/>
      <c r="CA879" s="56"/>
      <c r="CB879" s="56"/>
      <c r="CC879" s="56"/>
      <c r="CD879" s="56"/>
      <c r="CE879" s="56"/>
      <c r="CF879" s="56"/>
      <c r="CG879" s="56"/>
      <c r="CH879" s="56"/>
      <c r="CI879" s="56"/>
      <c r="CJ879" s="56"/>
      <c r="CK879" s="56"/>
      <c r="CL879" s="56"/>
      <c r="CM879" s="56"/>
      <c r="CN879" s="56"/>
      <c r="CO879" s="56"/>
      <c r="CP879" s="56"/>
      <c r="CQ879" s="56"/>
      <c r="CR879" s="56"/>
      <c r="CS879" s="56"/>
      <c r="CT879" s="56"/>
      <c r="CU879" s="56"/>
      <c r="CV879" s="56"/>
      <c r="CW879" s="56"/>
      <c r="CX879" s="56"/>
      <c r="CY879" s="56"/>
      <c r="CZ879" s="56"/>
      <c r="DA879" s="56"/>
      <c r="DB879" s="56"/>
      <c r="DC879" s="56"/>
      <c r="DD879" s="56"/>
      <c r="DE879" s="56"/>
      <c r="DF879" s="56"/>
      <c r="DG879" s="56"/>
      <c r="DH879" s="56"/>
      <c r="DI879" s="56"/>
      <c r="DJ879" s="56"/>
      <c r="DK879" s="56"/>
      <c r="DL879" s="56"/>
      <c r="DM879" s="56"/>
      <c r="DN879" s="56"/>
      <c r="DO879" s="56"/>
      <c r="DP879" s="56"/>
      <c r="DQ879" s="56"/>
      <c r="DR879" s="56"/>
      <c r="DS879" s="56"/>
      <c r="DT879" s="56"/>
      <c r="DU879" s="56"/>
      <c r="DV879" s="56"/>
      <c r="DW879" s="56"/>
      <c r="DX879" s="56"/>
      <c r="DY879" s="56"/>
      <c r="DZ879" s="56"/>
      <c r="EA879" s="56"/>
      <c r="EB879" s="56"/>
      <c r="EC879" s="56"/>
      <c r="ED879" s="56"/>
      <c r="EE879" s="56"/>
      <c r="EF879" s="56"/>
      <c r="EG879" s="56"/>
      <c r="EH879" s="56"/>
      <c r="EI879" s="56"/>
      <c r="EJ879" s="56"/>
      <c r="EK879" s="56"/>
      <c r="EL879" s="56"/>
      <c r="EM879" s="56"/>
      <c r="EN879" s="56"/>
      <c r="EO879" s="56"/>
      <c r="EP879" s="56"/>
      <c r="EQ879" s="56"/>
      <c r="ER879" s="56"/>
      <c r="ES879" s="56"/>
      <c r="ET879" s="56"/>
      <c r="EU879" s="56"/>
      <c r="EV879" s="56"/>
      <c r="EW879" s="56"/>
      <c r="EX879" s="56"/>
      <c r="EY879" s="56"/>
      <c r="EZ879" s="56"/>
      <c r="FA879" s="56"/>
      <c r="FB879" s="56"/>
      <c r="FC879" s="56"/>
      <c r="FD879" s="56"/>
      <c r="FE879" s="56"/>
      <c r="FF879" s="56"/>
      <c r="FG879" s="56"/>
      <c r="FH879" s="56"/>
      <c r="FI879" s="56"/>
      <c r="FJ879" s="56"/>
      <c r="FK879" s="56"/>
      <c r="FL879" s="56"/>
      <c r="FM879" s="56"/>
      <c r="FN879" s="56"/>
      <c r="FO879" s="56"/>
      <c r="FP879" s="56"/>
      <c r="FQ879" s="56"/>
      <c r="FR879" s="56"/>
      <c r="FS879" s="56"/>
      <c r="FT879" s="56"/>
      <c r="FU879" s="56"/>
      <c r="FV879" s="56"/>
      <c r="FW879" s="56"/>
      <c r="FX879" s="56"/>
      <c r="FY879" s="56"/>
      <c r="FZ879" s="56"/>
      <c r="GA879" s="56"/>
      <c r="GB879" s="56"/>
      <c r="GC879" s="56"/>
      <c r="GD879" s="56"/>
      <c r="GE879" s="56"/>
      <c r="GF879" s="56"/>
    </row>
    <row r="880" spans="1:57" s="43" customFormat="1" ht="15" customHeight="1">
      <c r="A880" s="13"/>
      <c r="B880" s="104" t="s">
        <v>669</v>
      </c>
      <c r="C880" s="45"/>
      <c r="D880" s="44"/>
      <c r="E880" s="44"/>
      <c r="F880" s="44"/>
      <c r="G880" s="44"/>
      <c r="H880" s="44"/>
      <c r="I880" s="40"/>
      <c r="J880" s="40"/>
      <c r="K880" s="40"/>
      <c r="L880" s="60">
        <f>L881</f>
        <v>27</v>
      </c>
      <c r="M880" s="60" t="str">
        <f t="shared" si="28"/>
        <v> -</v>
      </c>
      <c r="N880" s="60" t="str">
        <f t="shared" si="28"/>
        <v> -</v>
      </c>
      <c r="O880" s="60" t="str">
        <f t="shared" si="28"/>
        <v> -</v>
      </c>
      <c r="P880" s="60">
        <f>P881</f>
        <v>28</v>
      </c>
      <c r="Q880" s="70"/>
      <c r="R880" s="41"/>
      <c r="S880" s="41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  <c r="AT880" s="46"/>
      <c r="AU880" s="46"/>
      <c r="AV880" s="46"/>
      <c r="BA880" s="49"/>
      <c r="BB880" s="42"/>
      <c r="BC880" s="42"/>
      <c r="BD880" s="42"/>
      <c r="BE880" s="42"/>
    </row>
    <row r="881" spans="1:57" s="43" customFormat="1" ht="18" customHeight="1">
      <c r="A881" s="13"/>
      <c r="B881" s="105" t="s">
        <v>421</v>
      </c>
      <c r="C881" s="15" t="s">
        <v>1315</v>
      </c>
      <c r="D881" s="40"/>
      <c r="E881" s="40"/>
      <c r="F881" s="40">
        <v>10</v>
      </c>
      <c r="G881" s="40">
        <v>14</v>
      </c>
      <c r="H881" s="40">
        <v>14</v>
      </c>
      <c r="I881" s="40">
        <v>14</v>
      </c>
      <c r="J881" s="40">
        <v>14</v>
      </c>
      <c r="K881" s="40">
        <v>14</v>
      </c>
      <c r="L881" s="40">
        <v>27</v>
      </c>
      <c r="M881" s="40" t="s">
        <v>556</v>
      </c>
      <c r="N881" s="40" t="s">
        <v>556</v>
      </c>
      <c r="O881" s="40" t="s">
        <v>556</v>
      </c>
      <c r="P881" s="40">
        <v>28</v>
      </c>
      <c r="Q881" s="70"/>
      <c r="R881" s="41"/>
      <c r="S881" s="41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BA881" s="49"/>
      <c r="BB881" s="42"/>
      <c r="BC881" s="42"/>
      <c r="BD881" s="42"/>
      <c r="BE881" s="42"/>
    </row>
    <row r="882" spans="1:48" s="43" customFormat="1" ht="18" customHeight="1">
      <c r="A882" s="13"/>
      <c r="B882" s="93" t="s">
        <v>670</v>
      </c>
      <c r="C882" s="16"/>
      <c r="D882" s="60"/>
      <c r="E882" s="60"/>
      <c r="F882" s="60"/>
      <c r="G882" s="60"/>
      <c r="H882" s="60"/>
      <c r="I882" s="60"/>
      <c r="J882" s="60"/>
      <c r="K882" s="60"/>
      <c r="L882" s="60">
        <v>1</v>
      </c>
      <c r="M882" s="60" t="s">
        <v>556</v>
      </c>
      <c r="N882" s="60" t="s">
        <v>556</v>
      </c>
      <c r="O882" s="60" t="s">
        <v>556</v>
      </c>
      <c r="P882" s="60">
        <v>3</v>
      </c>
      <c r="Q882" s="70"/>
      <c r="R882" s="70"/>
      <c r="S882" s="70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</row>
    <row r="883" spans="1:48" s="43" customFormat="1" ht="15.75" customHeight="1">
      <c r="A883" s="13"/>
      <c r="B883" s="97" t="s">
        <v>408</v>
      </c>
      <c r="C883" s="15">
        <v>15100151</v>
      </c>
      <c r="D883" s="40"/>
      <c r="E883" s="40"/>
      <c r="F883" s="40"/>
      <c r="G883" s="40">
        <v>4</v>
      </c>
      <c r="H883" s="40">
        <v>4</v>
      </c>
      <c r="I883" s="40">
        <v>4</v>
      </c>
      <c r="J883" s="40">
        <v>4</v>
      </c>
      <c r="K883" s="40">
        <v>4</v>
      </c>
      <c r="L883" s="40">
        <v>1</v>
      </c>
      <c r="M883" s="40" t="s">
        <v>556</v>
      </c>
      <c r="N883" s="40" t="s">
        <v>556</v>
      </c>
      <c r="O883" s="40" t="s">
        <v>556</v>
      </c>
      <c r="P883" s="40">
        <v>1</v>
      </c>
      <c r="Q883" s="70"/>
      <c r="R883" s="70"/>
      <c r="S883" s="70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  <c r="AT883" s="46"/>
      <c r="AU883" s="46"/>
      <c r="AV883" s="46"/>
    </row>
    <row r="884" spans="1:48" s="43" customFormat="1" ht="16.5" customHeight="1">
      <c r="A884" s="13"/>
      <c r="B884" s="97" t="s">
        <v>566</v>
      </c>
      <c r="C884" s="15" t="s">
        <v>567</v>
      </c>
      <c r="D884" s="40"/>
      <c r="E884" s="40"/>
      <c r="F884" s="40"/>
      <c r="G884" s="40">
        <v>5</v>
      </c>
      <c r="H884" s="40">
        <v>5</v>
      </c>
      <c r="I884" s="40">
        <v>5</v>
      </c>
      <c r="J884" s="40">
        <v>5</v>
      </c>
      <c r="K884" s="40">
        <v>5</v>
      </c>
      <c r="L884" s="40" t="s">
        <v>556</v>
      </c>
      <c r="M884" s="40" t="s">
        <v>556</v>
      </c>
      <c r="N884" s="40" t="s">
        <v>556</v>
      </c>
      <c r="O884" s="40" t="s">
        <v>556</v>
      </c>
      <c r="P884" s="40">
        <v>2</v>
      </c>
      <c r="Q884" s="70"/>
      <c r="R884" s="70"/>
      <c r="S884" s="70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  <c r="AT884" s="46"/>
      <c r="AU884" s="46"/>
      <c r="AV884" s="46"/>
    </row>
    <row r="885" spans="1:188" s="57" customFormat="1" ht="15.75" customHeight="1">
      <c r="A885" s="13">
        <v>26</v>
      </c>
      <c r="B885" s="92" t="s">
        <v>505</v>
      </c>
      <c r="C885" s="45"/>
      <c r="D885" s="61">
        <v>27</v>
      </c>
      <c r="E885" s="61">
        <v>2</v>
      </c>
      <c r="F885" s="61">
        <v>33</v>
      </c>
      <c r="G885" s="61">
        <v>27</v>
      </c>
      <c r="H885" s="61">
        <v>27</v>
      </c>
      <c r="I885" s="61">
        <v>28</v>
      </c>
      <c r="J885" s="61">
        <v>29</v>
      </c>
      <c r="K885" s="61">
        <v>29</v>
      </c>
      <c r="L885" s="44" t="str">
        <f aca="true" t="shared" si="29" ref="L885:P886">L886</f>
        <v> -</v>
      </c>
      <c r="M885" s="44" t="str">
        <f t="shared" si="29"/>
        <v> -</v>
      </c>
      <c r="N885" s="44">
        <f t="shared" si="29"/>
        <v>1</v>
      </c>
      <c r="O885" s="44">
        <f t="shared" si="29"/>
        <v>1</v>
      </c>
      <c r="P885" s="44" t="str">
        <f t="shared" si="29"/>
        <v> -</v>
      </c>
      <c r="Q885" s="54" t="s">
        <v>649</v>
      </c>
      <c r="R885" s="54">
        <v>1</v>
      </c>
      <c r="S885" s="55" t="s">
        <v>415</v>
      </c>
      <c r="T885" s="56"/>
      <c r="U885" s="56"/>
      <c r="V885" s="56"/>
      <c r="W885" s="56"/>
      <c r="X885" s="56"/>
      <c r="Y885" s="56"/>
      <c r="Z885" s="56"/>
      <c r="AA885" s="56"/>
      <c r="AB885" s="56"/>
      <c r="AC885" s="56"/>
      <c r="AD885" s="56"/>
      <c r="AE885" s="56"/>
      <c r="AF885" s="56"/>
      <c r="AG885" s="56"/>
      <c r="AH885" s="56"/>
      <c r="AI885" s="56"/>
      <c r="AJ885" s="56"/>
      <c r="AK885" s="56"/>
      <c r="AL885" s="56"/>
      <c r="AM885" s="56"/>
      <c r="AN885" s="56"/>
      <c r="AO885" s="56"/>
      <c r="AP885" s="56"/>
      <c r="AQ885" s="56"/>
      <c r="AR885" s="56"/>
      <c r="AS885" s="56"/>
      <c r="AT885" s="56"/>
      <c r="AU885" s="56"/>
      <c r="AV885" s="56"/>
      <c r="AW885" s="56"/>
      <c r="AX885" s="56"/>
      <c r="AY885" s="56"/>
      <c r="AZ885" s="56"/>
      <c r="BA885" s="56"/>
      <c r="BB885" s="56"/>
      <c r="BC885" s="56"/>
      <c r="BD885" s="56"/>
      <c r="BE885" s="56"/>
      <c r="BF885" s="56"/>
      <c r="BG885" s="56"/>
      <c r="BH885" s="56"/>
      <c r="BI885" s="56"/>
      <c r="BJ885" s="56"/>
      <c r="BK885" s="56"/>
      <c r="BL885" s="56"/>
      <c r="BM885" s="56"/>
      <c r="BN885" s="56"/>
      <c r="BO885" s="56"/>
      <c r="BP885" s="56"/>
      <c r="BQ885" s="56"/>
      <c r="BR885" s="56"/>
      <c r="BS885" s="56"/>
      <c r="BT885" s="56"/>
      <c r="BU885" s="56"/>
      <c r="BV885" s="56"/>
      <c r="BW885" s="56"/>
      <c r="BX885" s="56"/>
      <c r="BY885" s="56"/>
      <c r="BZ885" s="56"/>
      <c r="CA885" s="56"/>
      <c r="CB885" s="56"/>
      <c r="CC885" s="56"/>
      <c r="CD885" s="56"/>
      <c r="CE885" s="56"/>
      <c r="CF885" s="56"/>
      <c r="CG885" s="56"/>
      <c r="CH885" s="56"/>
      <c r="CI885" s="56"/>
      <c r="CJ885" s="56"/>
      <c r="CK885" s="56"/>
      <c r="CL885" s="56"/>
      <c r="CM885" s="56"/>
      <c r="CN885" s="56"/>
      <c r="CO885" s="56"/>
      <c r="CP885" s="56"/>
      <c r="CQ885" s="56"/>
      <c r="CR885" s="56"/>
      <c r="CS885" s="56"/>
      <c r="CT885" s="56"/>
      <c r="CU885" s="56"/>
      <c r="CV885" s="56"/>
      <c r="CW885" s="56"/>
      <c r="CX885" s="56"/>
      <c r="CY885" s="56"/>
      <c r="CZ885" s="56"/>
      <c r="DA885" s="56"/>
      <c r="DB885" s="56"/>
      <c r="DC885" s="56"/>
      <c r="DD885" s="56"/>
      <c r="DE885" s="56"/>
      <c r="DF885" s="56"/>
      <c r="DG885" s="56"/>
      <c r="DH885" s="56"/>
      <c r="DI885" s="56"/>
      <c r="DJ885" s="56"/>
      <c r="DK885" s="56"/>
      <c r="DL885" s="56"/>
      <c r="DM885" s="56"/>
      <c r="DN885" s="56"/>
      <c r="DO885" s="56"/>
      <c r="DP885" s="56"/>
      <c r="DQ885" s="56"/>
      <c r="DR885" s="56"/>
      <c r="DS885" s="56"/>
      <c r="DT885" s="56"/>
      <c r="DU885" s="56"/>
      <c r="DV885" s="56"/>
      <c r="DW885" s="56"/>
      <c r="DX885" s="56"/>
      <c r="DY885" s="56"/>
      <c r="DZ885" s="56"/>
      <c r="EA885" s="56"/>
      <c r="EB885" s="56"/>
      <c r="EC885" s="56"/>
      <c r="ED885" s="56"/>
      <c r="EE885" s="56"/>
      <c r="EF885" s="56"/>
      <c r="EG885" s="56"/>
      <c r="EH885" s="56"/>
      <c r="EI885" s="56"/>
      <c r="EJ885" s="56"/>
      <c r="EK885" s="56"/>
      <c r="EL885" s="56"/>
      <c r="EM885" s="56"/>
      <c r="EN885" s="56"/>
      <c r="EO885" s="56"/>
      <c r="EP885" s="56"/>
      <c r="EQ885" s="56"/>
      <c r="ER885" s="56"/>
      <c r="ES885" s="56"/>
      <c r="ET885" s="56"/>
      <c r="EU885" s="56"/>
      <c r="EV885" s="56"/>
      <c r="EW885" s="56"/>
      <c r="EX885" s="56"/>
      <c r="EY885" s="56"/>
      <c r="EZ885" s="56"/>
      <c r="FA885" s="56"/>
      <c r="FB885" s="56"/>
      <c r="FC885" s="56"/>
      <c r="FD885" s="56"/>
      <c r="FE885" s="56"/>
      <c r="FF885" s="56"/>
      <c r="FG885" s="56"/>
      <c r="FH885" s="56"/>
      <c r="FI885" s="56"/>
      <c r="FJ885" s="56"/>
      <c r="FK885" s="56"/>
      <c r="FL885" s="56"/>
      <c r="FM885" s="56"/>
      <c r="FN885" s="56"/>
      <c r="FO885" s="56"/>
      <c r="FP885" s="56"/>
      <c r="FQ885" s="56"/>
      <c r="FR885" s="56"/>
      <c r="FS885" s="56"/>
      <c r="FT885" s="56"/>
      <c r="FU885" s="56"/>
      <c r="FV885" s="56"/>
      <c r="FW885" s="56"/>
      <c r="FX885" s="56"/>
      <c r="FY885" s="56"/>
      <c r="FZ885" s="56"/>
      <c r="GA885" s="56"/>
      <c r="GB885" s="56"/>
      <c r="GC885" s="56"/>
      <c r="GD885" s="56"/>
      <c r="GE885" s="56"/>
      <c r="GF885" s="56"/>
    </row>
    <row r="886" spans="1:48" s="18" customFormat="1" ht="15.75" customHeight="1">
      <c r="A886" s="50"/>
      <c r="B886" s="93" t="s">
        <v>669</v>
      </c>
      <c r="C886" s="16"/>
      <c r="D886" s="52"/>
      <c r="E886" s="52"/>
      <c r="F886" s="52"/>
      <c r="G886" s="52"/>
      <c r="H886" s="52"/>
      <c r="I886" s="52"/>
      <c r="J886" s="52"/>
      <c r="K886" s="52"/>
      <c r="L886" s="60" t="str">
        <f t="shared" si="29"/>
        <v> -</v>
      </c>
      <c r="M886" s="60" t="str">
        <f t="shared" si="29"/>
        <v> -</v>
      </c>
      <c r="N886" s="60">
        <f t="shared" si="29"/>
        <v>1</v>
      </c>
      <c r="O886" s="60">
        <f t="shared" si="29"/>
        <v>1</v>
      </c>
      <c r="P886" s="60" t="str">
        <f t="shared" si="29"/>
        <v> -</v>
      </c>
      <c r="Q886" s="23"/>
      <c r="R886" s="23"/>
      <c r="S886" s="17"/>
      <c r="T886" s="47"/>
      <c r="U886" s="47"/>
      <c r="V886" s="47"/>
      <c r="W886" s="47"/>
      <c r="X886" s="47"/>
      <c r="Y886" s="47"/>
      <c r="Z886" s="47"/>
      <c r="AA886" s="47"/>
      <c r="AB886" s="47"/>
      <c r="AC886" s="47"/>
      <c r="AD886" s="47"/>
      <c r="AE886" s="47"/>
      <c r="AF886" s="47"/>
      <c r="AG886" s="47"/>
      <c r="AH886" s="47"/>
      <c r="AI886" s="47"/>
      <c r="AJ886" s="47"/>
      <c r="AK886" s="47"/>
      <c r="AL886" s="47"/>
      <c r="AM886" s="47"/>
      <c r="AN886" s="47"/>
      <c r="AO886" s="47"/>
      <c r="AP886" s="47"/>
      <c r="AQ886" s="47"/>
      <c r="AR886" s="47"/>
      <c r="AS886" s="47"/>
      <c r="AT886" s="47"/>
      <c r="AU886" s="47"/>
      <c r="AV886" s="47"/>
    </row>
    <row r="887" spans="1:48" s="27" customFormat="1" ht="15.75" customHeight="1">
      <c r="A887" s="12"/>
      <c r="B887" s="97" t="s">
        <v>599</v>
      </c>
      <c r="C887" s="15" t="s">
        <v>600</v>
      </c>
      <c r="D887" s="51"/>
      <c r="E887" s="51"/>
      <c r="F887" s="51">
        <v>15</v>
      </c>
      <c r="G887" s="51"/>
      <c r="H887" s="51"/>
      <c r="I887" s="51"/>
      <c r="J887" s="51"/>
      <c r="K887" s="51"/>
      <c r="L887" s="40" t="s">
        <v>556</v>
      </c>
      <c r="M887" s="40" t="s">
        <v>556</v>
      </c>
      <c r="N887" s="40">
        <v>1</v>
      </c>
      <c r="O887" s="40">
        <v>1</v>
      </c>
      <c r="P887" s="40" t="s">
        <v>556</v>
      </c>
      <c r="Q887" s="30"/>
      <c r="R887" s="30"/>
      <c r="S887" s="30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</row>
    <row r="888" spans="1:188" s="57" customFormat="1" ht="15.75" customHeight="1">
      <c r="A888" s="13">
        <v>27</v>
      </c>
      <c r="B888" s="92" t="s">
        <v>508</v>
      </c>
      <c r="C888" s="45"/>
      <c r="D888" s="61">
        <v>45</v>
      </c>
      <c r="E888" s="61">
        <v>4</v>
      </c>
      <c r="F888" s="61">
        <v>33</v>
      </c>
      <c r="G888" s="61">
        <v>45</v>
      </c>
      <c r="H888" s="61">
        <v>47</v>
      </c>
      <c r="I888" s="61">
        <v>47</v>
      </c>
      <c r="J888" s="61">
        <v>47</v>
      </c>
      <c r="K888" s="61">
        <v>47</v>
      </c>
      <c r="L888" s="44" t="str">
        <f aca="true" t="shared" si="30" ref="L888:P889">L889</f>
        <v> -</v>
      </c>
      <c r="M888" s="44">
        <f t="shared" si="30"/>
        <v>1</v>
      </c>
      <c r="N888" s="44" t="str">
        <f t="shared" si="30"/>
        <v> -</v>
      </c>
      <c r="O888" s="44" t="str">
        <f t="shared" si="30"/>
        <v> -</v>
      </c>
      <c r="P888" s="44" t="str">
        <f t="shared" si="30"/>
        <v> -</v>
      </c>
      <c r="Q888" s="54" t="s">
        <v>649</v>
      </c>
      <c r="R888" s="54">
        <v>1</v>
      </c>
      <c r="S888" s="55" t="s">
        <v>415</v>
      </c>
      <c r="T888" s="56"/>
      <c r="U888" s="56"/>
      <c r="V888" s="56"/>
      <c r="W888" s="56"/>
      <c r="X888" s="56"/>
      <c r="Y888" s="56"/>
      <c r="Z888" s="56"/>
      <c r="AA888" s="56"/>
      <c r="AB888" s="56"/>
      <c r="AC888" s="56"/>
      <c r="AD888" s="56"/>
      <c r="AE888" s="56"/>
      <c r="AF888" s="56"/>
      <c r="AG888" s="56"/>
      <c r="AH888" s="56"/>
      <c r="AI888" s="56"/>
      <c r="AJ888" s="56"/>
      <c r="AK888" s="56"/>
      <c r="AL888" s="56"/>
      <c r="AM888" s="56"/>
      <c r="AN888" s="56"/>
      <c r="AO888" s="56"/>
      <c r="AP888" s="56"/>
      <c r="AQ888" s="56"/>
      <c r="AR888" s="56"/>
      <c r="AS888" s="56"/>
      <c r="AT888" s="56"/>
      <c r="AU888" s="56"/>
      <c r="AV888" s="56"/>
      <c r="AW888" s="56"/>
      <c r="AX888" s="56"/>
      <c r="AY888" s="56"/>
      <c r="AZ888" s="56"/>
      <c r="BA888" s="56"/>
      <c r="BB888" s="56"/>
      <c r="BC888" s="56"/>
      <c r="BD888" s="56"/>
      <c r="BE888" s="56"/>
      <c r="BF888" s="56"/>
      <c r="BG888" s="56"/>
      <c r="BH888" s="56"/>
      <c r="BI888" s="56"/>
      <c r="BJ888" s="56"/>
      <c r="BK888" s="56"/>
      <c r="BL888" s="56"/>
      <c r="BM888" s="56"/>
      <c r="BN888" s="56"/>
      <c r="BO888" s="56"/>
      <c r="BP888" s="56"/>
      <c r="BQ888" s="56"/>
      <c r="BR888" s="56"/>
      <c r="BS888" s="56"/>
      <c r="BT888" s="56"/>
      <c r="BU888" s="56"/>
      <c r="BV888" s="56"/>
      <c r="BW888" s="56"/>
      <c r="BX888" s="56"/>
      <c r="BY888" s="56"/>
      <c r="BZ888" s="56"/>
      <c r="CA888" s="56"/>
      <c r="CB888" s="56"/>
      <c r="CC888" s="56"/>
      <c r="CD888" s="56"/>
      <c r="CE888" s="56"/>
      <c r="CF888" s="56"/>
      <c r="CG888" s="56"/>
      <c r="CH888" s="56"/>
      <c r="CI888" s="56"/>
      <c r="CJ888" s="56"/>
      <c r="CK888" s="56"/>
      <c r="CL888" s="56"/>
      <c r="CM888" s="56"/>
      <c r="CN888" s="56"/>
      <c r="CO888" s="56"/>
      <c r="CP888" s="56"/>
      <c r="CQ888" s="56"/>
      <c r="CR888" s="56"/>
      <c r="CS888" s="56"/>
      <c r="CT888" s="56"/>
      <c r="CU888" s="56"/>
      <c r="CV888" s="56"/>
      <c r="CW888" s="56"/>
      <c r="CX888" s="56"/>
      <c r="CY888" s="56"/>
      <c r="CZ888" s="56"/>
      <c r="DA888" s="56"/>
      <c r="DB888" s="56"/>
      <c r="DC888" s="56"/>
      <c r="DD888" s="56"/>
      <c r="DE888" s="56"/>
      <c r="DF888" s="56"/>
      <c r="DG888" s="56"/>
      <c r="DH888" s="56"/>
      <c r="DI888" s="56"/>
      <c r="DJ888" s="56"/>
      <c r="DK888" s="56"/>
      <c r="DL888" s="56"/>
      <c r="DM888" s="56"/>
      <c r="DN888" s="56"/>
      <c r="DO888" s="56"/>
      <c r="DP888" s="56"/>
      <c r="DQ888" s="56"/>
      <c r="DR888" s="56"/>
      <c r="DS888" s="56"/>
      <c r="DT888" s="56"/>
      <c r="DU888" s="56"/>
      <c r="DV888" s="56"/>
      <c r="DW888" s="56"/>
      <c r="DX888" s="56"/>
      <c r="DY888" s="56"/>
      <c r="DZ888" s="56"/>
      <c r="EA888" s="56"/>
      <c r="EB888" s="56"/>
      <c r="EC888" s="56"/>
      <c r="ED888" s="56"/>
      <c r="EE888" s="56"/>
      <c r="EF888" s="56"/>
      <c r="EG888" s="56"/>
      <c r="EH888" s="56"/>
      <c r="EI888" s="56"/>
      <c r="EJ888" s="56"/>
      <c r="EK888" s="56"/>
      <c r="EL888" s="56"/>
      <c r="EM888" s="56"/>
      <c r="EN888" s="56"/>
      <c r="EO888" s="56"/>
      <c r="EP888" s="56"/>
      <c r="EQ888" s="56"/>
      <c r="ER888" s="56"/>
      <c r="ES888" s="56"/>
      <c r="ET888" s="56"/>
      <c r="EU888" s="56"/>
      <c r="EV888" s="56"/>
      <c r="EW888" s="56"/>
      <c r="EX888" s="56"/>
      <c r="EY888" s="56"/>
      <c r="EZ888" s="56"/>
      <c r="FA888" s="56"/>
      <c r="FB888" s="56"/>
      <c r="FC888" s="56"/>
      <c r="FD888" s="56"/>
      <c r="FE888" s="56"/>
      <c r="FF888" s="56"/>
      <c r="FG888" s="56"/>
      <c r="FH888" s="56"/>
      <c r="FI888" s="56"/>
      <c r="FJ888" s="56"/>
      <c r="FK888" s="56"/>
      <c r="FL888" s="56"/>
      <c r="FM888" s="56"/>
      <c r="FN888" s="56"/>
      <c r="FO888" s="56"/>
      <c r="FP888" s="56"/>
      <c r="FQ888" s="56"/>
      <c r="FR888" s="56"/>
      <c r="FS888" s="56"/>
      <c r="FT888" s="56"/>
      <c r="FU888" s="56"/>
      <c r="FV888" s="56"/>
      <c r="FW888" s="56"/>
      <c r="FX888" s="56"/>
      <c r="FY888" s="56"/>
      <c r="FZ888" s="56"/>
      <c r="GA888" s="56"/>
      <c r="GB888" s="56"/>
      <c r="GC888" s="56"/>
      <c r="GD888" s="56"/>
      <c r="GE888" s="56"/>
      <c r="GF888" s="56"/>
    </row>
    <row r="889" spans="1:48" s="18" customFormat="1" ht="15.75" customHeight="1">
      <c r="A889" s="50"/>
      <c r="B889" s="93" t="s">
        <v>669</v>
      </c>
      <c r="C889" s="16"/>
      <c r="D889" s="52"/>
      <c r="E889" s="52"/>
      <c r="F889" s="52"/>
      <c r="G889" s="52"/>
      <c r="H889" s="52"/>
      <c r="I889" s="52"/>
      <c r="J889" s="52"/>
      <c r="K889" s="52"/>
      <c r="L889" s="60" t="str">
        <f t="shared" si="30"/>
        <v> -</v>
      </c>
      <c r="M889" s="60">
        <f t="shared" si="30"/>
        <v>1</v>
      </c>
      <c r="N889" s="60" t="str">
        <f t="shared" si="30"/>
        <v> -</v>
      </c>
      <c r="O889" s="60" t="str">
        <f t="shared" si="30"/>
        <v> -</v>
      </c>
      <c r="P889" s="60" t="str">
        <f t="shared" si="30"/>
        <v> -</v>
      </c>
      <c r="Q889" s="23"/>
      <c r="R889" s="23"/>
      <c r="S889" s="17"/>
      <c r="T889" s="47"/>
      <c r="U889" s="47"/>
      <c r="V889" s="47"/>
      <c r="W889" s="47"/>
      <c r="X889" s="47"/>
      <c r="Y889" s="47"/>
      <c r="Z889" s="47"/>
      <c r="AA889" s="47"/>
      <c r="AB889" s="47"/>
      <c r="AC889" s="47"/>
      <c r="AD889" s="47"/>
      <c r="AE889" s="47"/>
      <c r="AF889" s="47"/>
      <c r="AG889" s="47"/>
      <c r="AH889" s="47"/>
      <c r="AI889" s="47"/>
      <c r="AJ889" s="47"/>
      <c r="AK889" s="47"/>
      <c r="AL889" s="47"/>
      <c r="AM889" s="47"/>
      <c r="AN889" s="47"/>
      <c r="AO889" s="47"/>
      <c r="AP889" s="47"/>
      <c r="AQ889" s="47"/>
      <c r="AR889" s="47"/>
      <c r="AS889" s="47"/>
      <c r="AT889" s="47"/>
      <c r="AU889" s="47"/>
      <c r="AV889" s="47"/>
    </row>
    <row r="890" spans="1:48" s="27" customFormat="1" ht="15.75" customHeight="1">
      <c r="A890" s="12"/>
      <c r="B890" s="97" t="s">
        <v>599</v>
      </c>
      <c r="C890" s="15" t="s">
        <v>600</v>
      </c>
      <c r="D890" s="51"/>
      <c r="E890" s="51"/>
      <c r="F890" s="51">
        <v>15</v>
      </c>
      <c r="G890" s="51"/>
      <c r="H890" s="51"/>
      <c r="I890" s="51"/>
      <c r="J890" s="51"/>
      <c r="K890" s="51"/>
      <c r="L890" s="40" t="s">
        <v>556</v>
      </c>
      <c r="M890" s="40">
        <v>1</v>
      </c>
      <c r="N890" s="40" t="s">
        <v>556</v>
      </c>
      <c r="O890" s="40" t="s">
        <v>556</v>
      </c>
      <c r="P890" s="40" t="s">
        <v>556</v>
      </c>
      <c r="Q890" s="30"/>
      <c r="R890" s="30"/>
      <c r="S890" s="30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</row>
    <row r="891" spans="1:188" s="57" customFormat="1" ht="15.75" customHeight="1">
      <c r="A891" s="13">
        <v>28</v>
      </c>
      <c r="B891" s="92" t="s">
        <v>510</v>
      </c>
      <c r="C891" s="45"/>
      <c r="D891" s="61">
        <v>5</v>
      </c>
      <c r="E891" s="61" t="s">
        <v>556</v>
      </c>
      <c r="F891" s="61">
        <v>33</v>
      </c>
      <c r="G891" s="61">
        <v>15</v>
      </c>
      <c r="H891" s="61">
        <v>20</v>
      </c>
      <c r="I891" s="61">
        <v>22</v>
      </c>
      <c r="J891" s="61">
        <v>25</v>
      </c>
      <c r="K891" s="61">
        <v>30</v>
      </c>
      <c r="L891" s="44">
        <v>7</v>
      </c>
      <c r="M891" s="44">
        <f aca="true" t="shared" si="31" ref="M891:O892">M892</f>
        <v>4</v>
      </c>
      <c r="N891" s="44">
        <f t="shared" si="31"/>
        <v>2</v>
      </c>
      <c r="O891" s="44">
        <f t="shared" si="31"/>
        <v>2</v>
      </c>
      <c r="P891" s="44">
        <v>5</v>
      </c>
      <c r="Q891" s="54" t="s">
        <v>649</v>
      </c>
      <c r="R891" s="54">
        <v>1</v>
      </c>
      <c r="S891" s="55" t="s">
        <v>415</v>
      </c>
      <c r="T891" s="56"/>
      <c r="U891" s="56"/>
      <c r="V891" s="56"/>
      <c r="W891" s="56"/>
      <c r="X891" s="56"/>
      <c r="Y891" s="56"/>
      <c r="Z891" s="56"/>
      <c r="AA891" s="56"/>
      <c r="AB891" s="56"/>
      <c r="AC891" s="56"/>
      <c r="AD891" s="56"/>
      <c r="AE891" s="56"/>
      <c r="AF891" s="56"/>
      <c r="AG891" s="56"/>
      <c r="AH891" s="56"/>
      <c r="AI891" s="56"/>
      <c r="AJ891" s="56"/>
      <c r="AK891" s="56"/>
      <c r="AL891" s="56"/>
      <c r="AM891" s="56"/>
      <c r="AN891" s="56"/>
      <c r="AO891" s="56"/>
      <c r="AP891" s="56"/>
      <c r="AQ891" s="56"/>
      <c r="AR891" s="56"/>
      <c r="AS891" s="56"/>
      <c r="AT891" s="56"/>
      <c r="AU891" s="56"/>
      <c r="AV891" s="56"/>
      <c r="AW891" s="56"/>
      <c r="AX891" s="56"/>
      <c r="AY891" s="56"/>
      <c r="AZ891" s="56"/>
      <c r="BA891" s="56"/>
      <c r="BB891" s="56"/>
      <c r="BC891" s="56"/>
      <c r="BD891" s="56"/>
      <c r="BE891" s="56"/>
      <c r="BF891" s="56"/>
      <c r="BG891" s="56"/>
      <c r="BH891" s="56"/>
      <c r="BI891" s="56"/>
      <c r="BJ891" s="56"/>
      <c r="BK891" s="56"/>
      <c r="BL891" s="56"/>
      <c r="BM891" s="56"/>
      <c r="BN891" s="56"/>
      <c r="BO891" s="56"/>
      <c r="BP891" s="56"/>
      <c r="BQ891" s="56"/>
      <c r="BR891" s="56"/>
      <c r="BS891" s="56"/>
      <c r="BT891" s="56"/>
      <c r="BU891" s="56"/>
      <c r="BV891" s="56"/>
      <c r="BW891" s="56"/>
      <c r="BX891" s="56"/>
      <c r="BY891" s="56"/>
      <c r="BZ891" s="56"/>
      <c r="CA891" s="56"/>
      <c r="CB891" s="56"/>
      <c r="CC891" s="56"/>
      <c r="CD891" s="56"/>
      <c r="CE891" s="56"/>
      <c r="CF891" s="56"/>
      <c r="CG891" s="56"/>
      <c r="CH891" s="56"/>
      <c r="CI891" s="56"/>
      <c r="CJ891" s="56"/>
      <c r="CK891" s="56"/>
      <c r="CL891" s="56"/>
      <c r="CM891" s="56"/>
      <c r="CN891" s="56"/>
      <c r="CO891" s="56"/>
      <c r="CP891" s="56"/>
      <c r="CQ891" s="56"/>
      <c r="CR891" s="56"/>
      <c r="CS891" s="56"/>
      <c r="CT891" s="56"/>
      <c r="CU891" s="56"/>
      <c r="CV891" s="56"/>
      <c r="CW891" s="56"/>
      <c r="CX891" s="56"/>
      <c r="CY891" s="56"/>
      <c r="CZ891" s="56"/>
      <c r="DA891" s="56"/>
      <c r="DB891" s="56"/>
      <c r="DC891" s="56"/>
      <c r="DD891" s="56"/>
      <c r="DE891" s="56"/>
      <c r="DF891" s="56"/>
      <c r="DG891" s="56"/>
      <c r="DH891" s="56"/>
      <c r="DI891" s="56"/>
      <c r="DJ891" s="56"/>
      <c r="DK891" s="56"/>
      <c r="DL891" s="56"/>
      <c r="DM891" s="56"/>
      <c r="DN891" s="56"/>
      <c r="DO891" s="56"/>
      <c r="DP891" s="56"/>
      <c r="DQ891" s="56"/>
      <c r="DR891" s="56"/>
      <c r="DS891" s="56"/>
      <c r="DT891" s="56"/>
      <c r="DU891" s="56"/>
      <c r="DV891" s="56"/>
      <c r="DW891" s="56"/>
      <c r="DX891" s="56"/>
      <c r="DY891" s="56"/>
      <c r="DZ891" s="56"/>
      <c r="EA891" s="56"/>
      <c r="EB891" s="56"/>
      <c r="EC891" s="56"/>
      <c r="ED891" s="56"/>
      <c r="EE891" s="56"/>
      <c r="EF891" s="56"/>
      <c r="EG891" s="56"/>
      <c r="EH891" s="56"/>
      <c r="EI891" s="56"/>
      <c r="EJ891" s="56"/>
      <c r="EK891" s="56"/>
      <c r="EL891" s="56"/>
      <c r="EM891" s="56"/>
      <c r="EN891" s="56"/>
      <c r="EO891" s="56"/>
      <c r="EP891" s="56"/>
      <c r="EQ891" s="56"/>
      <c r="ER891" s="56"/>
      <c r="ES891" s="56"/>
      <c r="ET891" s="56"/>
      <c r="EU891" s="56"/>
      <c r="EV891" s="56"/>
      <c r="EW891" s="56"/>
      <c r="EX891" s="56"/>
      <c r="EY891" s="56"/>
      <c r="EZ891" s="56"/>
      <c r="FA891" s="56"/>
      <c r="FB891" s="56"/>
      <c r="FC891" s="56"/>
      <c r="FD891" s="56"/>
      <c r="FE891" s="56"/>
      <c r="FF891" s="56"/>
      <c r="FG891" s="56"/>
      <c r="FH891" s="56"/>
      <c r="FI891" s="56"/>
      <c r="FJ891" s="56"/>
      <c r="FK891" s="56"/>
      <c r="FL891" s="56"/>
      <c r="FM891" s="56"/>
      <c r="FN891" s="56"/>
      <c r="FO891" s="56"/>
      <c r="FP891" s="56"/>
      <c r="FQ891" s="56"/>
      <c r="FR891" s="56"/>
      <c r="FS891" s="56"/>
      <c r="FT891" s="56"/>
      <c r="FU891" s="56"/>
      <c r="FV891" s="56"/>
      <c r="FW891" s="56"/>
      <c r="FX891" s="56"/>
      <c r="FY891" s="56"/>
      <c r="FZ891" s="56"/>
      <c r="GA891" s="56"/>
      <c r="GB891" s="56"/>
      <c r="GC891" s="56"/>
      <c r="GD891" s="56"/>
      <c r="GE891" s="56"/>
      <c r="GF891" s="56"/>
    </row>
    <row r="892" spans="1:48" s="18" customFormat="1" ht="15.75" customHeight="1">
      <c r="A892" s="50"/>
      <c r="B892" s="93" t="s">
        <v>669</v>
      </c>
      <c r="C892" s="16"/>
      <c r="D892" s="52"/>
      <c r="E892" s="52"/>
      <c r="F892" s="52"/>
      <c r="G892" s="52"/>
      <c r="H892" s="52"/>
      <c r="I892" s="52"/>
      <c r="J892" s="52"/>
      <c r="K892" s="52"/>
      <c r="L892" s="60">
        <f>L893</f>
        <v>4</v>
      </c>
      <c r="M892" s="60">
        <f t="shared" si="31"/>
        <v>4</v>
      </c>
      <c r="N892" s="60">
        <f t="shared" si="31"/>
        <v>2</v>
      </c>
      <c r="O892" s="60">
        <f t="shared" si="31"/>
        <v>2</v>
      </c>
      <c r="P892" s="60">
        <f>P893</f>
        <v>4</v>
      </c>
      <c r="Q892" s="23"/>
      <c r="R892" s="23"/>
      <c r="S892" s="17"/>
      <c r="T892" s="47"/>
      <c r="U892" s="47"/>
      <c r="V892" s="47"/>
      <c r="W892" s="47"/>
      <c r="X892" s="47"/>
      <c r="Y892" s="47"/>
      <c r="Z892" s="47"/>
      <c r="AA892" s="47"/>
      <c r="AB892" s="47"/>
      <c r="AC892" s="47"/>
      <c r="AD892" s="47"/>
      <c r="AE892" s="47"/>
      <c r="AF892" s="47"/>
      <c r="AG892" s="47"/>
      <c r="AH892" s="47"/>
      <c r="AI892" s="47"/>
      <c r="AJ892" s="47"/>
      <c r="AK892" s="47"/>
      <c r="AL892" s="47"/>
      <c r="AM892" s="47"/>
      <c r="AN892" s="47"/>
      <c r="AO892" s="47"/>
      <c r="AP892" s="47"/>
      <c r="AQ892" s="47"/>
      <c r="AR892" s="47"/>
      <c r="AS892" s="47"/>
      <c r="AT892" s="47"/>
      <c r="AU892" s="47"/>
      <c r="AV892" s="47"/>
    </row>
    <row r="893" spans="1:48" s="27" customFormat="1" ht="15.75" customHeight="1">
      <c r="A893" s="12"/>
      <c r="B893" s="97" t="s">
        <v>1334</v>
      </c>
      <c r="C893" s="29" t="s">
        <v>1335</v>
      </c>
      <c r="D893" s="51"/>
      <c r="E893" s="51"/>
      <c r="F893" s="51">
        <v>15</v>
      </c>
      <c r="G893" s="51">
        <v>6</v>
      </c>
      <c r="H893" s="51">
        <v>10</v>
      </c>
      <c r="I893" s="51">
        <v>12</v>
      </c>
      <c r="J893" s="51">
        <v>14</v>
      </c>
      <c r="K893" s="51">
        <v>18</v>
      </c>
      <c r="L893" s="40">
        <v>4</v>
      </c>
      <c r="M893" s="40">
        <v>4</v>
      </c>
      <c r="N893" s="40">
        <v>2</v>
      </c>
      <c r="O893" s="40">
        <v>2</v>
      </c>
      <c r="P893" s="40">
        <v>4</v>
      </c>
      <c r="Q893" s="30"/>
      <c r="R893" s="30"/>
      <c r="S893" s="30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</row>
    <row r="894" spans="1:48" s="18" customFormat="1" ht="15.75" customHeight="1">
      <c r="A894" s="50"/>
      <c r="B894" s="93" t="s">
        <v>37</v>
      </c>
      <c r="C894" s="16"/>
      <c r="D894" s="52"/>
      <c r="E894" s="52"/>
      <c r="F894" s="52"/>
      <c r="G894" s="52"/>
      <c r="H894" s="52"/>
      <c r="I894" s="52"/>
      <c r="J894" s="52"/>
      <c r="K894" s="52"/>
      <c r="L894" s="60">
        <f>L895</f>
        <v>3</v>
      </c>
      <c r="M894" s="60" t="str">
        <f>M895</f>
        <v> -</v>
      </c>
      <c r="N894" s="60"/>
      <c r="O894" s="60" t="str">
        <f>O895</f>
        <v> -</v>
      </c>
      <c r="P894" s="60">
        <f>P895</f>
        <v>1</v>
      </c>
      <c r="Q894" s="23"/>
      <c r="R894" s="23"/>
      <c r="S894" s="17"/>
      <c r="T894" s="47"/>
      <c r="U894" s="47"/>
      <c r="V894" s="47"/>
      <c r="W894" s="47"/>
      <c r="X894" s="47"/>
      <c r="Y894" s="47"/>
      <c r="Z894" s="47"/>
      <c r="AA894" s="47"/>
      <c r="AB894" s="47"/>
      <c r="AC894" s="47"/>
      <c r="AD894" s="47"/>
      <c r="AE894" s="47"/>
      <c r="AF894" s="47"/>
      <c r="AG894" s="47"/>
      <c r="AH894" s="47"/>
      <c r="AI894" s="47"/>
      <c r="AJ894" s="47"/>
      <c r="AK894" s="47"/>
      <c r="AL894" s="47"/>
      <c r="AM894" s="47"/>
      <c r="AN894" s="47"/>
      <c r="AO894" s="47"/>
      <c r="AP894" s="47"/>
      <c r="AQ894" s="47"/>
      <c r="AR894" s="47"/>
      <c r="AS894" s="47"/>
      <c r="AT894" s="47"/>
      <c r="AU894" s="47"/>
      <c r="AV894" s="47"/>
    </row>
    <row r="895" spans="1:48" s="27" customFormat="1" ht="15.75" customHeight="1">
      <c r="A895" s="12"/>
      <c r="B895" s="109" t="s">
        <v>71</v>
      </c>
      <c r="C895" s="66" t="s">
        <v>41</v>
      </c>
      <c r="D895" s="40"/>
      <c r="E895" s="40"/>
      <c r="F895" s="40">
        <v>19</v>
      </c>
      <c r="G895" s="40">
        <v>5</v>
      </c>
      <c r="H895" s="40">
        <v>5</v>
      </c>
      <c r="I895" s="40">
        <v>5</v>
      </c>
      <c r="J895" s="40">
        <v>5</v>
      </c>
      <c r="K895" s="40">
        <v>6</v>
      </c>
      <c r="L895" s="40">
        <v>3</v>
      </c>
      <c r="M895" s="40" t="s">
        <v>556</v>
      </c>
      <c r="N895" s="40" t="s">
        <v>556</v>
      </c>
      <c r="O895" s="40" t="s">
        <v>556</v>
      </c>
      <c r="P895" s="40">
        <v>1</v>
      </c>
      <c r="Q895" s="30"/>
      <c r="R895" s="30"/>
      <c r="S895" s="30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</row>
    <row r="896" spans="1:188" s="57" customFormat="1" ht="15.75" customHeight="1">
      <c r="A896" s="13">
        <v>29</v>
      </c>
      <c r="B896" s="92" t="s">
        <v>519</v>
      </c>
      <c r="C896" s="45"/>
      <c r="D896" s="61">
        <v>54</v>
      </c>
      <c r="E896" s="61">
        <v>3</v>
      </c>
      <c r="F896" s="61">
        <v>33</v>
      </c>
      <c r="G896" s="61">
        <v>56</v>
      </c>
      <c r="H896" s="61">
        <v>59</v>
      </c>
      <c r="I896" s="61">
        <v>61</v>
      </c>
      <c r="J896" s="61">
        <v>63</v>
      </c>
      <c r="K896" s="61">
        <v>64</v>
      </c>
      <c r="L896" s="44">
        <v>3</v>
      </c>
      <c r="M896" s="44">
        <v>4</v>
      </c>
      <c r="N896" s="44">
        <v>1</v>
      </c>
      <c r="O896" s="44">
        <v>3</v>
      </c>
      <c r="P896" s="44">
        <v>2</v>
      </c>
      <c r="Q896" s="54" t="s">
        <v>649</v>
      </c>
      <c r="R896" s="54">
        <v>1</v>
      </c>
      <c r="S896" s="55" t="s">
        <v>415</v>
      </c>
      <c r="T896" s="56"/>
      <c r="U896" s="56"/>
      <c r="V896" s="56"/>
      <c r="W896" s="56"/>
      <c r="X896" s="56"/>
      <c r="Y896" s="56"/>
      <c r="Z896" s="56"/>
      <c r="AA896" s="56"/>
      <c r="AB896" s="56"/>
      <c r="AC896" s="56"/>
      <c r="AD896" s="56"/>
      <c r="AE896" s="56"/>
      <c r="AF896" s="56"/>
      <c r="AG896" s="56"/>
      <c r="AH896" s="56"/>
      <c r="AI896" s="56"/>
      <c r="AJ896" s="56"/>
      <c r="AK896" s="56"/>
      <c r="AL896" s="56"/>
      <c r="AM896" s="56"/>
      <c r="AN896" s="56"/>
      <c r="AO896" s="56"/>
      <c r="AP896" s="56"/>
      <c r="AQ896" s="56"/>
      <c r="AR896" s="56"/>
      <c r="AS896" s="56"/>
      <c r="AT896" s="56"/>
      <c r="AU896" s="56"/>
      <c r="AV896" s="56"/>
      <c r="AW896" s="56"/>
      <c r="AX896" s="56"/>
      <c r="AY896" s="56"/>
      <c r="AZ896" s="56"/>
      <c r="BA896" s="56"/>
      <c r="BB896" s="56"/>
      <c r="BC896" s="56"/>
      <c r="BD896" s="56"/>
      <c r="BE896" s="56"/>
      <c r="BF896" s="56"/>
      <c r="BG896" s="56"/>
      <c r="BH896" s="56"/>
      <c r="BI896" s="56"/>
      <c r="BJ896" s="56"/>
      <c r="BK896" s="56"/>
      <c r="BL896" s="56"/>
      <c r="BM896" s="56"/>
      <c r="BN896" s="56"/>
      <c r="BO896" s="56"/>
      <c r="BP896" s="56"/>
      <c r="BQ896" s="56"/>
      <c r="BR896" s="56"/>
      <c r="BS896" s="56"/>
      <c r="BT896" s="56"/>
      <c r="BU896" s="56"/>
      <c r="BV896" s="56"/>
      <c r="BW896" s="56"/>
      <c r="BX896" s="56"/>
      <c r="BY896" s="56"/>
      <c r="BZ896" s="56"/>
      <c r="CA896" s="56"/>
      <c r="CB896" s="56"/>
      <c r="CC896" s="56"/>
      <c r="CD896" s="56"/>
      <c r="CE896" s="56"/>
      <c r="CF896" s="56"/>
      <c r="CG896" s="56"/>
      <c r="CH896" s="56"/>
      <c r="CI896" s="56"/>
      <c r="CJ896" s="56"/>
      <c r="CK896" s="56"/>
      <c r="CL896" s="56"/>
      <c r="CM896" s="56"/>
      <c r="CN896" s="56"/>
      <c r="CO896" s="56"/>
      <c r="CP896" s="56"/>
      <c r="CQ896" s="56"/>
      <c r="CR896" s="56"/>
      <c r="CS896" s="56"/>
      <c r="CT896" s="56"/>
      <c r="CU896" s="56"/>
      <c r="CV896" s="56"/>
      <c r="CW896" s="56"/>
      <c r="CX896" s="56"/>
      <c r="CY896" s="56"/>
      <c r="CZ896" s="56"/>
      <c r="DA896" s="56"/>
      <c r="DB896" s="56"/>
      <c r="DC896" s="56"/>
      <c r="DD896" s="56"/>
      <c r="DE896" s="56"/>
      <c r="DF896" s="56"/>
      <c r="DG896" s="56"/>
      <c r="DH896" s="56"/>
      <c r="DI896" s="56"/>
      <c r="DJ896" s="56"/>
      <c r="DK896" s="56"/>
      <c r="DL896" s="56"/>
      <c r="DM896" s="56"/>
      <c r="DN896" s="56"/>
      <c r="DO896" s="56"/>
      <c r="DP896" s="56"/>
      <c r="DQ896" s="56"/>
      <c r="DR896" s="56"/>
      <c r="DS896" s="56"/>
      <c r="DT896" s="56"/>
      <c r="DU896" s="56"/>
      <c r="DV896" s="56"/>
      <c r="DW896" s="56"/>
      <c r="DX896" s="56"/>
      <c r="DY896" s="56"/>
      <c r="DZ896" s="56"/>
      <c r="EA896" s="56"/>
      <c r="EB896" s="56"/>
      <c r="EC896" s="56"/>
      <c r="ED896" s="56"/>
      <c r="EE896" s="56"/>
      <c r="EF896" s="56"/>
      <c r="EG896" s="56"/>
      <c r="EH896" s="56"/>
      <c r="EI896" s="56"/>
      <c r="EJ896" s="56"/>
      <c r="EK896" s="56"/>
      <c r="EL896" s="56"/>
      <c r="EM896" s="56"/>
      <c r="EN896" s="56"/>
      <c r="EO896" s="56"/>
      <c r="EP896" s="56"/>
      <c r="EQ896" s="56"/>
      <c r="ER896" s="56"/>
      <c r="ES896" s="56"/>
      <c r="ET896" s="56"/>
      <c r="EU896" s="56"/>
      <c r="EV896" s="56"/>
      <c r="EW896" s="56"/>
      <c r="EX896" s="56"/>
      <c r="EY896" s="56"/>
      <c r="EZ896" s="56"/>
      <c r="FA896" s="56"/>
      <c r="FB896" s="56"/>
      <c r="FC896" s="56"/>
      <c r="FD896" s="56"/>
      <c r="FE896" s="56"/>
      <c r="FF896" s="56"/>
      <c r="FG896" s="56"/>
      <c r="FH896" s="56"/>
      <c r="FI896" s="56"/>
      <c r="FJ896" s="56"/>
      <c r="FK896" s="56"/>
      <c r="FL896" s="56"/>
      <c r="FM896" s="56"/>
      <c r="FN896" s="56"/>
      <c r="FO896" s="56"/>
      <c r="FP896" s="56"/>
      <c r="FQ896" s="56"/>
      <c r="FR896" s="56"/>
      <c r="FS896" s="56"/>
      <c r="FT896" s="56"/>
      <c r="FU896" s="56"/>
      <c r="FV896" s="56"/>
      <c r="FW896" s="56"/>
      <c r="FX896" s="56"/>
      <c r="FY896" s="56"/>
      <c r="FZ896" s="56"/>
      <c r="GA896" s="56"/>
      <c r="GB896" s="56"/>
      <c r="GC896" s="56"/>
      <c r="GD896" s="56"/>
      <c r="GE896" s="56"/>
      <c r="GF896" s="56"/>
    </row>
    <row r="897" spans="1:48" s="18" customFormat="1" ht="15.75" customHeight="1">
      <c r="A897" s="50"/>
      <c r="B897" s="93" t="s">
        <v>669</v>
      </c>
      <c r="C897" s="16"/>
      <c r="D897" s="52"/>
      <c r="E897" s="52"/>
      <c r="F897" s="52"/>
      <c r="G897" s="52"/>
      <c r="H897" s="52"/>
      <c r="I897" s="52"/>
      <c r="J897" s="52"/>
      <c r="K897" s="52"/>
      <c r="L897" s="60">
        <f>SUM(L898:L898)</f>
        <v>1</v>
      </c>
      <c r="M897" s="60">
        <f>SUM(M898:M898)</f>
        <v>2</v>
      </c>
      <c r="N897" s="60" t="s">
        <v>556</v>
      </c>
      <c r="O897" s="60">
        <f>SUM(O898:O898)</f>
        <v>2</v>
      </c>
      <c r="P897" s="60" t="s">
        <v>556</v>
      </c>
      <c r="Q897" s="23"/>
      <c r="R897" s="23"/>
      <c r="S897" s="17"/>
      <c r="T897" s="47"/>
      <c r="U897" s="47"/>
      <c r="V897" s="47"/>
      <c r="W897" s="47"/>
      <c r="X897" s="47"/>
      <c r="Y897" s="47"/>
      <c r="Z897" s="47"/>
      <c r="AA897" s="47"/>
      <c r="AB897" s="47"/>
      <c r="AC897" s="47"/>
      <c r="AD897" s="47"/>
      <c r="AE897" s="47"/>
      <c r="AF897" s="47"/>
      <c r="AG897" s="47"/>
      <c r="AH897" s="47"/>
      <c r="AI897" s="47"/>
      <c r="AJ897" s="47"/>
      <c r="AK897" s="47"/>
      <c r="AL897" s="47"/>
      <c r="AM897" s="47"/>
      <c r="AN897" s="47"/>
      <c r="AO897" s="47"/>
      <c r="AP897" s="47"/>
      <c r="AQ897" s="47"/>
      <c r="AR897" s="47"/>
      <c r="AS897" s="47"/>
      <c r="AT897" s="47"/>
      <c r="AU897" s="47"/>
      <c r="AV897" s="47"/>
    </row>
    <row r="898" spans="1:48" s="27" customFormat="1" ht="15.75" customHeight="1">
      <c r="A898" s="12"/>
      <c r="B898" s="105" t="s">
        <v>979</v>
      </c>
      <c r="C898" s="15" t="s">
        <v>1314</v>
      </c>
      <c r="D898" s="51"/>
      <c r="E898" s="51"/>
      <c r="F898" s="51"/>
      <c r="G898" s="51"/>
      <c r="H898" s="51"/>
      <c r="I898" s="51"/>
      <c r="J898" s="51"/>
      <c r="K898" s="51"/>
      <c r="L898" s="40">
        <v>1</v>
      </c>
      <c r="M898" s="40">
        <v>2</v>
      </c>
      <c r="N898" s="40" t="s">
        <v>556</v>
      </c>
      <c r="O898" s="40">
        <v>2</v>
      </c>
      <c r="P898" s="40" t="s">
        <v>556</v>
      </c>
      <c r="Q898" s="30"/>
      <c r="R898" s="30"/>
      <c r="S898" s="30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</row>
    <row r="899" spans="1:48" s="18" customFormat="1" ht="17.25" customHeight="1">
      <c r="A899" s="50"/>
      <c r="B899" s="93" t="s">
        <v>670</v>
      </c>
      <c r="C899" s="16"/>
      <c r="D899" s="52"/>
      <c r="E899" s="52"/>
      <c r="F899" s="52"/>
      <c r="G899" s="52"/>
      <c r="H899" s="52"/>
      <c r="I899" s="52"/>
      <c r="J899" s="52"/>
      <c r="K899" s="52"/>
      <c r="L899" s="60">
        <f>L900</f>
        <v>1</v>
      </c>
      <c r="M899" s="60">
        <f>M900</f>
        <v>1</v>
      </c>
      <c r="N899" s="60">
        <v>1</v>
      </c>
      <c r="O899" s="60">
        <f>O900</f>
        <v>1</v>
      </c>
      <c r="P899" s="60">
        <f>P900</f>
        <v>1</v>
      </c>
      <c r="Q899" s="23"/>
      <c r="R899" s="23"/>
      <c r="S899" s="17"/>
      <c r="T899" s="47"/>
      <c r="U899" s="47"/>
      <c r="V899" s="47"/>
      <c r="W899" s="47"/>
      <c r="X899" s="47"/>
      <c r="Y899" s="47"/>
      <c r="Z899" s="47"/>
      <c r="AA899" s="47"/>
      <c r="AB899" s="47"/>
      <c r="AC899" s="47"/>
      <c r="AD899" s="47"/>
      <c r="AE899" s="47"/>
      <c r="AF899" s="47"/>
      <c r="AG899" s="47"/>
      <c r="AH899" s="47"/>
      <c r="AI899" s="47"/>
      <c r="AJ899" s="47"/>
      <c r="AK899" s="47"/>
      <c r="AL899" s="47"/>
      <c r="AM899" s="47"/>
      <c r="AN899" s="47"/>
      <c r="AO899" s="47"/>
      <c r="AP899" s="47"/>
      <c r="AQ899" s="47"/>
      <c r="AR899" s="47"/>
      <c r="AS899" s="47"/>
      <c r="AT899" s="47"/>
      <c r="AU899" s="47"/>
      <c r="AV899" s="47"/>
    </row>
    <row r="900" spans="1:48" s="27" customFormat="1" ht="15.75" customHeight="1">
      <c r="A900" s="12"/>
      <c r="B900" s="97" t="s">
        <v>1285</v>
      </c>
      <c r="C900" s="15" t="s">
        <v>1286</v>
      </c>
      <c r="D900" s="40"/>
      <c r="E900" s="40"/>
      <c r="F900" s="40"/>
      <c r="G900" s="40"/>
      <c r="H900" s="40"/>
      <c r="I900" s="40"/>
      <c r="J900" s="40"/>
      <c r="K900" s="40"/>
      <c r="L900" s="40">
        <v>1</v>
      </c>
      <c r="M900" s="40">
        <v>1</v>
      </c>
      <c r="N900" s="40">
        <v>1</v>
      </c>
      <c r="O900" s="40">
        <v>1</v>
      </c>
      <c r="P900" s="40">
        <v>1</v>
      </c>
      <c r="Q900" s="30"/>
      <c r="R900" s="30"/>
      <c r="S900" s="30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</row>
    <row r="901" spans="1:48" s="18" customFormat="1" ht="15.75" customHeight="1">
      <c r="A901" s="50"/>
      <c r="B901" s="93" t="s">
        <v>37</v>
      </c>
      <c r="C901" s="16"/>
      <c r="D901" s="52"/>
      <c r="E901" s="52"/>
      <c r="F901" s="52"/>
      <c r="G901" s="52"/>
      <c r="H901" s="52"/>
      <c r="I901" s="52"/>
      <c r="J901" s="52"/>
      <c r="K901" s="52"/>
      <c r="L901" s="60">
        <f>L902</f>
        <v>1</v>
      </c>
      <c r="M901" s="60">
        <f>M902</f>
        <v>1</v>
      </c>
      <c r="N901" s="60" t="s">
        <v>556</v>
      </c>
      <c r="O901" s="60" t="str">
        <f>O902</f>
        <v> -</v>
      </c>
      <c r="P901" s="60">
        <f>P902</f>
        <v>1</v>
      </c>
      <c r="Q901" s="23"/>
      <c r="R901" s="23"/>
      <c r="S901" s="17"/>
      <c r="T901" s="47"/>
      <c r="U901" s="47"/>
      <c r="V901" s="47"/>
      <c r="W901" s="47"/>
      <c r="X901" s="47"/>
      <c r="Y901" s="47"/>
      <c r="Z901" s="47"/>
      <c r="AA901" s="47"/>
      <c r="AB901" s="47"/>
      <c r="AC901" s="47"/>
      <c r="AD901" s="47"/>
      <c r="AE901" s="47"/>
      <c r="AF901" s="47"/>
      <c r="AG901" s="47"/>
      <c r="AH901" s="47"/>
      <c r="AI901" s="47"/>
      <c r="AJ901" s="47"/>
      <c r="AK901" s="47"/>
      <c r="AL901" s="47"/>
      <c r="AM901" s="47"/>
      <c r="AN901" s="47"/>
      <c r="AO901" s="47"/>
      <c r="AP901" s="47"/>
      <c r="AQ901" s="47"/>
      <c r="AR901" s="47"/>
      <c r="AS901" s="47"/>
      <c r="AT901" s="47"/>
      <c r="AU901" s="47"/>
      <c r="AV901" s="47"/>
    </row>
    <row r="902" spans="1:48" s="27" customFormat="1" ht="15.75" customHeight="1">
      <c r="A902" s="12"/>
      <c r="B902" s="97" t="s">
        <v>871</v>
      </c>
      <c r="C902" s="15" t="s">
        <v>872</v>
      </c>
      <c r="D902" s="40"/>
      <c r="E902" s="40"/>
      <c r="F902" s="40"/>
      <c r="G902" s="40"/>
      <c r="H902" s="40"/>
      <c r="I902" s="40"/>
      <c r="J902" s="40"/>
      <c r="K902" s="40"/>
      <c r="L902" s="40">
        <v>1</v>
      </c>
      <c r="M902" s="40">
        <v>1</v>
      </c>
      <c r="N902" s="40" t="s">
        <v>556</v>
      </c>
      <c r="O902" s="40" t="s">
        <v>556</v>
      </c>
      <c r="P902" s="40">
        <v>1</v>
      </c>
      <c r="Q902" s="30"/>
      <c r="R902" s="30"/>
      <c r="S902" s="30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</row>
    <row r="903" spans="1:188" s="57" customFormat="1" ht="15.75" customHeight="1">
      <c r="A903" s="13">
        <v>30</v>
      </c>
      <c r="B903" s="92" t="s">
        <v>517</v>
      </c>
      <c r="C903" s="45"/>
      <c r="D903" s="61">
        <v>20</v>
      </c>
      <c r="E903" s="61" t="s">
        <v>556</v>
      </c>
      <c r="F903" s="61">
        <v>33</v>
      </c>
      <c r="G903" s="61">
        <v>21</v>
      </c>
      <c r="H903" s="61">
        <v>22</v>
      </c>
      <c r="I903" s="61">
        <v>24</v>
      </c>
      <c r="J903" s="61">
        <v>27</v>
      </c>
      <c r="K903" s="61">
        <v>27</v>
      </c>
      <c r="L903" s="44">
        <v>1</v>
      </c>
      <c r="M903" s="44">
        <v>1</v>
      </c>
      <c r="N903" s="44">
        <v>2</v>
      </c>
      <c r="O903" s="44">
        <v>7</v>
      </c>
      <c r="P903" s="44">
        <v>7</v>
      </c>
      <c r="Q903" s="54" t="s">
        <v>649</v>
      </c>
      <c r="R903" s="54">
        <v>1</v>
      </c>
      <c r="S903" s="55" t="s">
        <v>415</v>
      </c>
      <c r="T903" s="56"/>
      <c r="U903" s="56"/>
      <c r="V903" s="56"/>
      <c r="W903" s="56"/>
      <c r="X903" s="56"/>
      <c r="Y903" s="56"/>
      <c r="Z903" s="56"/>
      <c r="AA903" s="56"/>
      <c r="AB903" s="56"/>
      <c r="AC903" s="56"/>
      <c r="AD903" s="56"/>
      <c r="AE903" s="56"/>
      <c r="AF903" s="56"/>
      <c r="AG903" s="56"/>
      <c r="AH903" s="56"/>
      <c r="AI903" s="56"/>
      <c r="AJ903" s="56"/>
      <c r="AK903" s="56"/>
      <c r="AL903" s="56"/>
      <c r="AM903" s="56"/>
      <c r="AN903" s="56"/>
      <c r="AO903" s="56"/>
      <c r="AP903" s="56"/>
      <c r="AQ903" s="56"/>
      <c r="AR903" s="56"/>
      <c r="AS903" s="56"/>
      <c r="AT903" s="56"/>
      <c r="AU903" s="56"/>
      <c r="AV903" s="56"/>
      <c r="AW903" s="56"/>
      <c r="AX903" s="56"/>
      <c r="AY903" s="56"/>
      <c r="AZ903" s="56"/>
      <c r="BA903" s="56"/>
      <c r="BB903" s="56"/>
      <c r="BC903" s="56"/>
      <c r="BD903" s="56"/>
      <c r="BE903" s="56"/>
      <c r="BF903" s="56"/>
      <c r="BG903" s="56"/>
      <c r="BH903" s="56"/>
      <c r="BI903" s="56"/>
      <c r="BJ903" s="56"/>
      <c r="BK903" s="56"/>
      <c r="BL903" s="56"/>
      <c r="BM903" s="56"/>
      <c r="BN903" s="56"/>
      <c r="BO903" s="56"/>
      <c r="BP903" s="56"/>
      <c r="BQ903" s="56"/>
      <c r="BR903" s="56"/>
      <c r="BS903" s="56"/>
      <c r="BT903" s="56"/>
      <c r="BU903" s="56"/>
      <c r="BV903" s="56"/>
      <c r="BW903" s="56"/>
      <c r="BX903" s="56"/>
      <c r="BY903" s="56"/>
      <c r="BZ903" s="56"/>
      <c r="CA903" s="56"/>
      <c r="CB903" s="56"/>
      <c r="CC903" s="56"/>
      <c r="CD903" s="56"/>
      <c r="CE903" s="56"/>
      <c r="CF903" s="56"/>
      <c r="CG903" s="56"/>
      <c r="CH903" s="56"/>
      <c r="CI903" s="56"/>
      <c r="CJ903" s="56"/>
      <c r="CK903" s="56"/>
      <c r="CL903" s="56"/>
      <c r="CM903" s="56"/>
      <c r="CN903" s="56"/>
      <c r="CO903" s="56"/>
      <c r="CP903" s="56"/>
      <c r="CQ903" s="56"/>
      <c r="CR903" s="56"/>
      <c r="CS903" s="56"/>
      <c r="CT903" s="56"/>
      <c r="CU903" s="56"/>
      <c r="CV903" s="56"/>
      <c r="CW903" s="56"/>
      <c r="CX903" s="56"/>
      <c r="CY903" s="56"/>
      <c r="CZ903" s="56"/>
      <c r="DA903" s="56"/>
      <c r="DB903" s="56"/>
      <c r="DC903" s="56"/>
      <c r="DD903" s="56"/>
      <c r="DE903" s="56"/>
      <c r="DF903" s="56"/>
      <c r="DG903" s="56"/>
      <c r="DH903" s="56"/>
      <c r="DI903" s="56"/>
      <c r="DJ903" s="56"/>
      <c r="DK903" s="56"/>
      <c r="DL903" s="56"/>
      <c r="DM903" s="56"/>
      <c r="DN903" s="56"/>
      <c r="DO903" s="56"/>
      <c r="DP903" s="56"/>
      <c r="DQ903" s="56"/>
      <c r="DR903" s="56"/>
      <c r="DS903" s="56"/>
      <c r="DT903" s="56"/>
      <c r="DU903" s="56"/>
      <c r="DV903" s="56"/>
      <c r="DW903" s="56"/>
      <c r="DX903" s="56"/>
      <c r="DY903" s="56"/>
      <c r="DZ903" s="56"/>
      <c r="EA903" s="56"/>
      <c r="EB903" s="56"/>
      <c r="EC903" s="56"/>
      <c r="ED903" s="56"/>
      <c r="EE903" s="56"/>
      <c r="EF903" s="56"/>
      <c r="EG903" s="56"/>
      <c r="EH903" s="56"/>
      <c r="EI903" s="56"/>
      <c r="EJ903" s="56"/>
      <c r="EK903" s="56"/>
      <c r="EL903" s="56"/>
      <c r="EM903" s="56"/>
      <c r="EN903" s="56"/>
      <c r="EO903" s="56"/>
      <c r="EP903" s="56"/>
      <c r="EQ903" s="56"/>
      <c r="ER903" s="56"/>
      <c r="ES903" s="56"/>
      <c r="ET903" s="56"/>
      <c r="EU903" s="56"/>
      <c r="EV903" s="56"/>
      <c r="EW903" s="56"/>
      <c r="EX903" s="56"/>
      <c r="EY903" s="56"/>
      <c r="EZ903" s="56"/>
      <c r="FA903" s="56"/>
      <c r="FB903" s="56"/>
      <c r="FC903" s="56"/>
      <c r="FD903" s="56"/>
      <c r="FE903" s="56"/>
      <c r="FF903" s="56"/>
      <c r="FG903" s="56"/>
      <c r="FH903" s="56"/>
      <c r="FI903" s="56"/>
      <c r="FJ903" s="56"/>
      <c r="FK903" s="56"/>
      <c r="FL903" s="56"/>
      <c r="FM903" s="56"/>
      <c r="FN903" s="56"/>
      <c r="FO903" s="56"/>
      <c r="FP903" s="56"/>
      <c r="FQ903" s="56"/>
      <c r="FR903" s="56"/>
      <c r="FS903" s="56"/>
      <c r="FT903" s="56"/>
      <c r="FU903" s="56"/>
      <c r="FV903" s="56"/>
      <c r="FW903" s="56"/>
      <c r="FX903" s="56"/>
      <c r="FY903" s="56"/>
      <c r="FZ903" s="56"/>
      <c r="GA903" s="56"/>
      <c r="GB903" s="56"/>
      <c r="GC903" s="56"/>
      <c r="GD903" s="56"/>
      <c r="GE903" s="56"/>
      <c r="GF903" s="56"/>
    </row>
    <row r="904" spans="1:48" s="18" customFormat="1" ht="15.75" customHeight="1">
      <c r="A904" s="50"/>
      <c r="B904" s="93" t="s">
        <v>669</v>
      </c>
      <c r="C904" s="16"/>
      <c r="D904" s="52"/>
      <c r="E904" s="52"/>
      <c r="F904" s="52"/>
      <c r="G904" s="52"/>
      <c r="H904" s="52"/>
      <c r="I904" s="52"/>
      <c r="J904" s="52"/>
      <c r="K904" s="52"/>
      <c r="L904" s="60">
        <f>SUM(L905:L908)</f>
        <v>1</v>
      </c>
      <c r="M904" s="60">
        <f>SUM(M905:M908)</f>
        <v>1</v>
      </c>
      <c r="N904" s="60">
        <f>SUM(N905:N908)</f>
        <v>2</v>
      </c>
      <c r="O904" s="60">
        <f>SUM(O905:O908)</f>
        <v>6</v>
      </c>
      <c r="P904" s="60">
        <f>SUM(P905:P908)</f>
        <v>6</v>
      </c>
      <c r="Q904" s="23"/>
      <c r="R904" s="23"/>
      <c r="S904" s="17"/>
      <c r="T904" s="47"/>
      <c r="U904" s="47"/>
      <c r="V904" s="47"/>
      <c r="W904" s="47"/>
      <c r="X904" s="47"/>
      <c r="Y904" s="47"/>
      <c r="Z904" s="47"/>
      <c r="AA904" s="47"/>
      <c r="AB904" s="47"/>
      <c r="AC904" s="47"/>
      <c r="AD904" s="47"/>
      <c r="AE904" s="47"/>
      <c r="AF904" s="47"/>
      <c r="AG904" s="47"/>
      <c r="AH904" s="47"/>
      <c r="AI904" s="47"/>
      <c r="AJ904" s="47"/>
      <c r="AK904" s="47"/>
      <c r="AL904" s="47"/>
      <c r="AM904" s="47"/>
      <c r="AN904" s="47"/>
      <c r="AO904" s="47"/>
      <c r="AP904" s="47"/>
      <c r="AQ904" s="47"/>
      <c r="AR904" s="47"/>
      <c r="AS904" s="47"/>
      <c r="AT904" s="47"/>
      <c r="AU904" s="47"/>
      <c r="AV904" s="47"/>
    </row>
    <row r="905" spans="1:48" s="27" customFormat="1" ht="15.75" customHeight="1">
      <c r="A905" s="12"/>
      <c r="B905" s="97" t="s">
        <v>411</v>
      </c>
      <c r="C905" s="15" t="s">
        <v>412</v>
      </c>
      <c r="D905" s="51"/>
      <c r="E905" s="51"/>
      <c r="F905" s="51"/>
      <c r="G905" s="51">
        <v>3</v>
      </c>
      <c r="H905" s="51">
        <v>3</v>
      </c>
      <c r="I905" s="51">
        <v>3</v>
      </c>
      <c r="J905" s="51">
        <v>3</v>
      </c>
      <c r="K905" s="51">
        <v>4</v>
      </c>
      <c r="L905" s="40" t="s">
        <v>556</v>
      </c>
      <c r="M905" s="40" t="s">
        <v>556</v>
      </c>
      <c r="N905" s="40" t="s">
        <v>556</v>
      </c>
      <c r="O905" s="40">
        <v>1</v>
      </c>
      <c r="P905" s="40" t="s">
        <v>556</v>
      </c>
      <c r="Q905" s="30"/>
      <c r="R905" s="30"/>
      <c r="S905" s="30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</row>
    <row r="906" spans="1:48" s="27" customFormat="1" ht="15.75" customHeight="1">
      <c r="A906" s="12"/>
      <c r="B906" s="97" t="s">
        <v>560</v>
      </c>
      <c r="C906" s="29" t="s">
        <v>1319</v>
      </c>
      <c r="D906" s="51"/>
      <c r="E906" s="51"/>
      <c r="F906" s="51"/>
      <c r="G906" s="51">
        <v>3</v>
      </c>
      <c r="H906" s="51">
        <v>3</v>
      </c>
      <c r="I906" s="51">
        <v>5</v>
      </c>
      <c r="J906" s="51">
        <v>5</v>
      </c>
      <c r="K906" s="51">
        <v>5</v>
      </c>
      <c r="L906" s="40" t="s">
        <v>556</v>
      </c>
      <c r="M906" s="40" t="s">
        <v>556</v>
      </c>
      <c r="N906" s="40">
        <v>1</v>
      </c>
      <c r="O906" s="40">
        <v>2</v>
      </c>
      <c r="P906" s="40">
        <v>2</v>
      </c>
      <c r="Q906" s="30"/>
      <c r="R906" s="30"/>
      <c r="S906" s="30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</row>
    <row r="907" spans="1:48" s="27" customFormat="1" ht="15.75" customHeight="1">
      <c r="A907" s="12"/>
      <c r="B907" s="97" t="s">
        <v>448</v>
      </c>
      <c r="C907" s="29" t="s">
        <v>449</v>
      </c>
      <c r="D907" s="51"/>
      <c r="E907" s="51"/>
      <c r="F907" s="51"/>
      <c r="G907" s="51">
        <v>9</v>
      </c>
      <c r="H907" s="51">
        <v>9</v>
      </c>
      <c r="I907" s="51">
        <v>9</v>
      </c>
      <c r="J907" s="51">
        <v>10</v>
      </c>
      <c r="K907" s="51">
        <v>10</v>
      </c>
      <c r="L907" s="40" t="s">
        <v>556</v>
      </c>
      <c r="M907" s="40" t="s">
        <v>556</v>
      </c>
      <c r="N907" s="40" t="s">
        <v>556</v>
      </c>
      <c r="O907" s="40">
        <v>1</v>
      </c>
      <c r="P907" s="40">
        <v>1</v>
      </c>
      <c r="Q907" s="30"/>
      <c r="R907" s="30"/>
      <c r="S907" s="30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</row>
    <row r="908" spans="1:48" s="27" customFormat="1" ht="15.75" customHeight="1">
      <c r="A908" s="12"/>
      <c r="B908" s="97" t="s">
        <v>531</v>
      </c>
      <c r="C908" s="29" t="s">
        <v>532</v>
      </c>
      <c r="D908" s="51"/>
      <c r="E908" s="51"/>
      <c r="F908" s="51"/>
      <c r="G908" s="51">
        <v>3</v>
      </c>
      <c r="H908" s="51">
        <v>3</v>
      </c>
      <c r="I908" s="51">
        <v>3</v>
      </c>
      <c r="J908" s="51">
        <v>4</v>
      </c>
      <c r="K908" s="51">
        <v>5</v>
      </c>
      <c r="L908" s="40">
        <v>1</v>
      </c>
      <c r="M908" s="40">
        <v>1</v>
      </c>
      <c r="N908" s="40">
        <v>1</v>
      </c>
      <c r="O908" s="40">
        <v>2</v>
      </c>
      <c r="P908" s="40">
        <v>3</v>
      </c>
      <c r="Q908" s="30"/>
      <c r="R908" s="30"/>
      <c r="S908" s="30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</row>
    <row r="909" spans="1:48" s="18" customFormat="1" ht="15.75" customHeight="1">
      <c r="A909" s="50"/>
      <c r="B909" s="93" t="s">
        <v>37</v>
      </c>
      <c r="C909" s="16"/>
      <c r="D909" s="52"/>
      <c r="E909" s="52"/>
      <c r="F909" s="52"/>
      <c r="G909" s="52"/>
      <c r="H909" s="52"/>
      <c r="I909" s="52"/>
      <c r="J909" s="52"/>
      <c r="K909" s="52"/>
      <c r="L909" s="60" t="str">
        <f>L910</f>
        <v> -</v>
      </c>
      <c r="M909" s="60" t="str">
        <f>M910</f>
        <v> -</v>
      </c>
      <c r="N909" s="60"/>
      <c r="O909" s="60">
        <f>O910</f>
        <v>1</v>
      </c>
      <c r="P909" s="60">
        <f>P910</f>
        <v>1</v>
      </c>
      <c r="Q909" s="23"/>
      <c r="R909" s="23"/>
      <c r="S909" s="17"/>
      <c r="T909" s="47"/>
      <c r="U909" s="47"/>
      <c r="V909" s="47"/>
      <c r="W909" s="47"/>
      <c r="X909" s="47"/>
      <c r="Y909" s="47"/>
      <c r="Z909" s="47"/>
      <c r="AA909" s="47"/>
      <c r="AB909" s="47"/>
      <c r="AC909" s="47"/>
      <c r="AD909" s="47"/>
      <c r="AE909" s="47"/>
      <c r="AF909" s="47"/>
      <c r="AG909" s="47"/>
      <c r="AH909" s="47"/>
      <c r="AI909" s="47"/>
      <c r="AJ909" s="47"/>
      <c r="AK909" s="47"/>
      <c r="AL909" s="47"/>
      <c r="AM909" s="47"/>
      <c r="AN909" s="47"/>
      <c r="AO909" s="47"/>
      <c r="AP909" s="47"/>
      <c r="AQ909" s="47"/>
      <c r="AR909" s="47"/>
      <c r="AS909" s="47"/>
      <c r="AT909" s="47"/>
      <c r="AU909" s="47"/>
      <c r="AV909" s="47"/>
    </row>
    <row r="910" spans="1:48" s="27" customFormat="1" ht="15.75" customHeight="1">
      <c r="A910" s="12"/>
      <c r="B910" s="97" t="s">
        <v>637</v>
      </c>
      <c r="C910" s="15" t="s">
        <v>638</v>
      </c>
      <c r="D910" s="40"/>
      <c r="E910" s="40"/>
      <c r="F910" s="40">
        <v>19</v>
      </c>
      <c r="G910" s="40">
        <v>1</v>
      </c>
      <c r="H910" s="40">
        <v>1</v>
      </c>
      <c r="I910" s="40">
        <v>1</v>
      </c>
      <c r="J910" s="40">
        <v>2</v>
      </c>
      <c r="K910" s="40">
        <v>2</v>
      </c>
      <c r="L910" s="40" t="s">
        <v>556</v>
      </c>
      <c r="M910" s="40" t="s">
        <v>556</v>
      </c>
      <c r="N910" s="40" t="s">
        <v>556</v>
      </c>
      <c r="O910" s="40">
        <v>1</v>
      </c>
      <c r="P910" s="40">
        <v>1</v>
      </c>
      <c r="Q910" s="30"/>
      <c r="R910" s="30"/>
      <c r="S910" s="30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</row>
    <row r="911" spans="1:188" s="57" customFormat="1" ht="15.75" customHeight="1">
      <c r="A911" s="13">
        <v>31</v>
      </c>
      <c r="B911" s="92" t="s">
        <v>520</v>
      </c>
      <c r="C911" s="45"/>
      <c r="D911" s="61">
        <v>91</v>
      </c>
      <c r="E911" s="61">
        <v>24</v>
      </c>
      <c r="F911" s="61"/>
      <c r="G911" s="61">
        <v>92</v>
      </c>
      <c r="H911" s="61">
        <v>92</v>
      </c>
      <c r="I911" s="61">
        <v>92</v>
      </c>
      <c r="J911" s="61">
        <v>92</v>
      </c>
      <c r="K911" s="61">
        <v>92</v>
      </c>
      <c r="L911" s="44">
        <f>L912</f>
        <v>1</v>
      </c>
      <c r="M911" s="44">
        <f>M912</f>
        <v>1</v>
      </c>
      <c r="N911" s="44">
        <f>N912</f>
        <v>1</v>
      </c>
      <c r="O911" s="44">
        <f>O912</f>
        <v>5</v>
      </c>
      <c r="P911" s="44">
        <f>P912</f>
        <v>6</v>
      </c>
      <c r="Q911" s="54" t="s">
        <v>649</v>
      </c>
      <c r="R911" s="54">
        <v>1</v>
      </c>
      <c r="S911" s="55" t="s">
        <v>415</v>
      </c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  <c r="AF911" s="56"/>
      <c r="AG911" s="56"/>
      <c r="AH911" s="56"/>
      <c r="AI911" s="56"/>
      <c r="AJ911" s="56"/>
      <c r="AK911" s="56"/>
      <c r="AL911" s="56"/>
      <c r="AM911" s="56"/>
      <c r="AN911" s="56"/>
      <c r="AO911" s="56"/>
      <c r="AP911" s="56"/>
      <c r="AQ911" s="56"/>
      <c r="AR911" s="56"/>
      <c r="AS911" s="56"/>
      <c r="AT911" s="56"/>
      <c r="AU911" s="56"/>
      <c r="AV911" s="56"/>
      <c r="AW911" s="56"/>
      <c r="AX911" s="56"/>
      <c r="AY911" s="56"/>
      <c r="AZ911" s="56"/>
      <c r="BA911" s="56"/>
      <c r="BB911" s="56"/>
      <c r="BC911" s="56"/>
      <c r="BD911" s="56"/>
      <c r="BE911" s="56"/>
      <c r="BF911" s="56"/>
      <c r="BG911" s="56"/>
      <c r="BH911" s="56"/>
      <c r="BI911" s="56"/>
      <c r="BJ911" s="56"/>
      <c r="BK911" s="56"/>
      <c r="BL911" s="56"/>
      <c r="BM911" s="56"/>
      <c r="BN911" s="56"/>
      <c r="BO911" s="56"/>
      <c r="BP911" s="56"/>
      <c r="BQ911" s="56"/>
      <c r="BR911" s="56"/>
      <c r="BS911" s="56"/>
      <c r="BT911" s="56"/>
      <c r="BU911" s="56"/>
      <c r="BV911" s="56"/>
      <c r="BW911" s="56"/>
      <c r="BX911" s="56"/>
      <c r="BY911" s="56"/>
      <c r="BZ911" s="56"/>
      <c r="CA911" s="56"/>
      <c r="CB911" s="56"/>
      <c r="CC911" s="56"/>
      <c r="CD911" s="56"/>
      <c r="CE911" s="56"/>
      <c r="CF911" s="56"/>
      <c r="CG911" s="56"/>
      <c r="CH911" s="56"/>
      <c r="CI911" s="56"/>
      <c r="CJ911" s="56"/>
      <c r="CK911" s="56"/>
      <c r="CL911" s="56"/>
      <c r="CM911" s="56"/>
      <c r="CN911" s="56"/>
      <c r="CO911" s="56"/>
      <c r="CP911" s="56"/>
      <c r="CQ911" s="56"/>
      <c r="CR911" s="56"/>
      <c r="CS911" s="56"/>
      <c r="CT911" s="56"/>
      <c r="CU911" s="56"/>
      <c r="CV911" s="56"/>
      <c r="CW911" s="56"/>
      <c r="CX911" s="56"/>
      <c r="CY911" s="56"/>
      <c r="CZ911" s="56"/>
      <c r="DA911" s="56"/>
      <c r="DB911" s="56"/>
      <c r="DC911" s="56"/>
      <c r="DD911" s="56"/>
      <c r="DE911" s="56"/>
      <c r="DF911" s="56"/>
      <c r="DG911" s="56"/>
      <c r="DH911" s="56"/>
      <c r="DI911" s="56"/>
      <c r="DJ911" s="56"/>
      <c r="DK911" s="56"/>
      <c r="DL911" s="56"/>
      <c r="DM911" s="56"/>
      <c r="DN911" s="56"/>
      <c r="DO911" s="56"/>
      <c r="DP911" s="56"/>
      <c r="DQ911" s="56"/>
      <c r="DR911" s="56"/>
      <c r="DS911" s="56"/>
      <c r="DT911" s="56"/>
      <c r="DU911" s="56"/>
      <c r="DV911" s="56"/>
      <c r="DW911" s="56"/>
      <c r="DX911" s="56"/>
      <c r="DY911" s="56"/>
      <c r="DZ911" s="56"/>
      <c r="EA911" s="56"/>
      <c r="EB911" s="56"/>
      <c r="EC911" s="56"/>
      <c r="ED911" s="56"/>
      <c r="EE911" s="56"/>
      <c r="EF911" s="56"/>
      <c r="EG911" s="56"/>
      <c r="EH911" s="56"/>
      <c r="EI911" s="56"/>
      <c r="EJ911" s="56"/>
      <c r="EK911" s="56"/>
      <c r="EL911" s="56"/>
      <c r="EM911" s="56"/>
      <c r="EN911" s="56"/>
      <c r="EO911" s="56"/>
      <c r="EP911" s="56"/>
      <c r="EQ911" s="56"/>
      <c r="ER911" s="56"/>
      <c r="ES911" s="56"/>
      <c r="ET911" s="56"/>
      <c r="EU911" s="56"/>
      <c r="EV911" s="56"/>
      <c r="EW911" s="56"/>
      <c r="EX911" s="56"/>
      <c r="EY911" s="56"/>
      <c r="EZ911" s="56"/>
      <c r="FA911" s="56"/>
      <c r="FB911" s="56"/>
      <c r="FC911" s="56"/>
      <c r="FD911" s="56"/>
      <c r="FE911" s="56"/>
      <c r="FF911" s="56"/>
      <c r="FG911" s="56"/>
      <c r="FH911" s="56"/>
      <c r="FI911" s="56"/>
      <c r="FJ911" s="56"/>
      <c r="FK911" s="56"/>
      <c r="FL911" s="56"/>
      <c r="FM911" s="56"/>
      <c r="FN911" s="56"/>
      <c r="FO911" s="56"/>
      <c r="FP911" s="56"/>
      <c r="FQ911" s="56"/>
      <c r="FR911" s="56"/>
      <c r="FS911" s="56"/>
      <c r="FT911" s="56"/>
      <c r="FU911" s="56"/>
      <c r="FV911" s="56"/>
      <c r="FW911" s="56"/>
      <c r="FX911" s="56"/>
      <c r="FY911" s="56"/>
      <c r="FZ911" s="56"/>
      <c r="GA911" s="56"/>
      <c r="GB911" s="56"/>
      <c r="GC911" s="56"/>
      <c r="GD911" s="56"/>
      <c r="GE911" s="56"/>
      <c r="GF911" s="56"/>
    </row>
    <row r="912" spans="1:48" s="18" customFormat="1" ht="15.75" customHeight="1">
      <c r="A912" s="50"/>
      <c r="B912" s="93" t="s">
        <v>669</v>
      </c>
      <c r="C912" s="16"/>
      <c r="D912" s="52"/>
      <c r="E912" s="52"/>
      <c r="F912" s="52"/>
      <c r="G912" s="52"/>
      <c r="H912" s="52"/>
      <c r="I912" s="52"/>
      <c r="J912" s="52"/>
      <c r="K912" s="52"/>
      <c r="L912" s="60">
        <f>SUM(L913:L916)</f>
        <v>1</v>
      </c>
      <c r="M912" s="60">
        <f>SUM(M913:M916)</f>
        <v>1</v>
      </c>
      <c r="N912" s="60">
        <f>SUM(N913:N916)</f>
        <v>1</v>
      </c>
      <c r="O912" s="60">
        <f>SUM(O913:O916)</f>
        <v>5</v>
      </c>
      <c r="P912" s="60">
        <f>SUM(P913:P916)</f>
        <v>6</v>
      </c>
      <c r="Q912" s="23"/>
      <c r="R912" s="23"/>
      <c r="S912" s="17"/>
      <c r="T912" s="47"/>
      <c r="U912" s="47"/>
      <c r="V912" s="47"/>
      <c r="W912" s="47"/>
      <c r="X912" s="47"/>
      <c r="Y912" s="47"/>
      <c r="Z912" s="47"/>
      <c r="AA912" s="47"/>
      <c r="AB912" s="47"/>
      <c r="AC912" s="47"/>
      <c r="AD912" s="47"/>
      <c r="AE912" s="47"/>
      <c r="AF912" s="47"/>
      <c r="AG912" s="47"/>
      <c r="AH912" s="47"/>
      <c r="AI912" s="47"/>
      <c r="AJ912" s="47"/>
      <c r="AK912" s="47"/>
      <c r="AL912" s="47"/>
      <c r="AM912" s="47"/>
      <c r="AN912" s="47"/>
      <c r="AO912" s="47"/>
      <c r="AP912" s="47"/>
      <c r="AQ912" s="47"/>
      <c r="AR912" s="47"/>
      <c r="AS912" s="47"/>
      <c r="AT912" s="47"/>
      <c r="AU912" s="47"/>
      <c r="AV912" s="47"/>
    </row>
    <row r="913" spans="1:48" s="27" customFormat="1" ht="15.75" customHeight="1">
      <c r="A913" s="12"/>
      <c r="B913" s="97" t="s">
        <v>1316</v>
      </c>
      <c r="C913" s="29" t="s">
        <v>1317</v>
      </c>
      <c r="D913" s="51"/>
      <c r="E913" s="51"/>
      <c r="F913" s="51"/>
      <c r="G913" s="51">
        <v>1</v>
      </c>
      <c r="H913" s="51">
        <v>1</v>
      </c>
      <c r="I913" s="51">
        <v>1</v>
      </c>
      <c r="J913" s="51">
        <v>1</v>
      </c>
      <c r="K913" s="51">
        <v>1</v>
      </c>
      <c r="L913" s="40" t="s">
        <v>556</v>
      </c>
      <c r="M913" s="40" t="s">
        <v>556</v>
      </c>
      <c r="N913" s="40" t="s">
        <v>556</v>
      </c>
      <c r="O913" s="40" t="s">
        <v>556</v>
      </c>
      <c r="P913" s="40">
        <v>1</v>
      </c>
      <c r="Q913" s="30"/>
      <c r="R913" s="30"/>
      <c r="S913" s="30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</row>
    <row r="914" spans="1:48" s="27" customFormat="1" ht="15.75" customHeight="1">
      <c r="A914" s="12"/>
      <c r="B914" s="105" t="s">
        <v>1329</v>
      </c>
      <c r="C914" s="66" t="s">
        <v>1330</v>
      </c>
      <c r="D914" s="51"/>
      <c r="E914" s="51"/>
      <c r="F914" s="51"/>
      <c r="G914" s="51">
        <v>7</v>
      </c>
      <c r="H914" s="51">
        <v>7</v>
      </c>
      <c r="I914" s="51">
        <v>7</v>
      </c>
      <c r="J914" s="51">
        <v>7</v>
      </c>
      <c r="K914" s="51">
        <v>7</v>
      </c>
      <c r="L914" s="40" t="s">
        <v>556</v>
      </c>
      <c r="M914" s="40" t="s">
        <v>556</v>
      </c>
      <c r="N914" s="40" t="s">
        <v>556</v>
      </c>
      <c r="O914" s="40">
        <v>2</v>
      </c>
      <c r="P914" s="40">
        <v>1</v>
      </c>
      <c r="Q914" s="30"/>
      <c r="R914" s="30"/>
      <c r="S914" s="30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</row>
    <row r="915" spans="1:48" s="27" customFormat="1" ht="15.75" customHeight="1">
      <c r="A915" s="12"/>
      <c r="B915" s="97" t="s">
        <v>521</v>
      </c>
      <c r="C915" s="29" t="s">
        <v>522</v>
      </c>
      <c r="D915" s="51"/>
      <c r="E915" s="51"/>
      <c r="F915" s="51"/>
      <c r="G915" s="51">
        <v>18</v>
      </c>
      <c r="H915" s="51">
        <v>18</v>
      </c>
      <c r="I915" s="51">
        <v>18</v>
      </c>
      <c r="J915" s="51">
        <v>18</v>
      </c>
      <c r="K915" s="51">
        <v>18</v>
      </c>
      <c r="L915" s="40" t="s">
        <v>556</v>
      </c>
      <c r="M915" s="40" t="s">
        <v>556</v>
      </c>
      <c r="N915" s="40" t="s">
        <v>556</v>
      </c>
      <c r="O915" s="40">
        <v>2</v>
      </c>
      <c r="P915" s="40">
        <v>3</v>
      </c>
      <c r="Q915" s="30"/>
      <c r="R915" s="30"/>
      <c r="S915" s="30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</row>
    <row r="916" spans="1:48" s="27" customFormat="1" ht="15.75" customHeight="1">
      <c r="A916" s="12"/>
      <c r="B916" s="111" t="s">
        <v>424</v>
      </c>
      <c r="C916" s="66" t="s">
        <v>425</v>
      </c>
      <c r="D916" s="51"/>
      <c r="E916" s="51"/>
      <c r="F916" s="51"/>
      <c r="G916" s="51">
        <v>4</v>
      </c>
      <c r="H916" s="51">
        <v>4</v>
      </c>
      <c r="I916" s="51">
        <v>4</v>
      </c>
      <c r="J916" s="51">
        <v>4</v>
      </c>
      <c r="K916" s="51">
        <v>4</v>
      </c>
      <c r="L916" s="40">
        <v>1</v>
      </c>
      <c r="M916" s="40">
        <v>1</v>
      </c>
      <c r="N916" s="40">
        <v>1</v>
      </c>
      <c r="O916" s="40">
        <v>1</v>
      </c>
      <c r="P916" s="40">
        <v>1</v>
      </c>
      <c r="Q916" s="30"/>
      <c r="R916" s="30"/>
      <c r="S916" s="30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</row>
    <row r="917" spans="1:188" s="57" customFormat="1" ht="15.75" customHeight="1">
      <c r="A917" s="13">
        <v>32</v>
      </c>
      <c r="B917" s="92" t="s">
        <v>523</v>
      </c>
      <c r="C917" s="45"/>
      <c r="D917" s="61">
        <v>45</v>
      </c>
      <c r="E917" s="61">
        <v>3</v>
      </c>
      <c r="F917" s="61"/>
      <c r="G917" s="61">
        <v>54</v>
      </c>
      <c r="H917" s="61">
        <v>58</v>
      </c>
      <c r="I917" s="61">
        <v>62</v>
      </c>
      <c r="J917" s="61">
        <v>64</v>
      </c>
      <c r="K917" s="61">
        <v>64</v>
      </c>
      <c r="L917" s="44">
        <v>9</v>
      </c>
      <c r="M917" s="44">
        <v>7</v>
      </c>
      <c r="N917" s="44">
        <f>N918</f>
        <v>6</v>
      </c>
      <c r="O917" s="44">
        <f>O918</f>
        <v>4</v>
      </c>
      <c r="P917" s="44">
        <f>P918</f>
        <v>2</v>
      </c>
      <c r="Q917" s="54" t="s">
        <v>649</v>
      </c>
      <c r="R917" s="54">
        <v>1</v>
      </c>
      <c r="S917" s="55" t="s">
        <v>415</v>
      </c>
      <c r="T917" s="56"/>
      <c r="U917" s="56"/>
      <c r="V917" s="56"/>
      <c r="W917" s="56"/>
      <c r="X917" s="56"/>
      <c r="Y917" s="56"/>
      <c r="Z917" s="56"/>
      <c r="AA917" s="56"/>
      <c r="AB917" s="56"/>
      <c r="AC917" s="56"/>
      <c r="AD917" s="56"/>
      <c r="AE917" s="56"/>
      <c r="AF917" s="56"/>
      <c r="AG917" s="56"/>
      <c r="AH917" s="56"/>
      <c r="AI917" s="56"/>
      <c r="AJ917" s="56"/>
      <c r="AK917" s="56"/>
      <c r="AL917" s="56"/>
      <c r="AM917" s="56"/>
      <c r="AN917" s="56"/>
      <c r="AO917" s="56"/>
      <c r="AP917" s="56"/>
      <c r="AQ917" s="56"/>
      <c r="AR917" s="56"/>
      <c r="AS917" s="56"/>
      <c r="AT917" s="56"/>
      <c r="AU917" s="56"/>
      <c r="AV917" s="56"/>
      <c r="AW917" s="56"/>
      <c r="AX917" s="56"/>
      <c r="AY917" s="56"/>
      <c r="AZ917" s="56"/>
      <c r="BA917" s="56"/>
      <c r="BB917" s="56"/>
      <c r="BC917" s="56"/>
      <c r="BD917" s="56"/>
      <c r="BE917" s="56"/>
      <c r="BF917" s="56"/>
      <c r="BG917" s="56"/>
      <c r="BH917" s="56"/>
      <c r="BI917" s="56"/>
      <c r="BJ917" s="56"/>
      <c r="BK917" s="56"/>
      <c r="BL917" s="56"/>
      <c r="BM917" s="56"/>
      <c r="BN917" s="56"/>
      <c r="BO917" s="56"/>
      <c r="BP917" s="56"/>
      <c r="BQ917" s="56"/>
      <c r="BR917" s="56"/>
      <c r="BS917" s="56"/>
      <c r="BT917" s="56"/>
      <c r="BU917" s="56"/>
      <c r="BV917" s="56"/>
      <c r="BW917" s="56"/>
      <c r="BX917" s="56"/>
      <c r="BY917" s="56"/>
      <c r="BZ917" s="56"/>
      <c r="CA917" s="56"/>
      <c r="CB917" s="56"/>
      <c r="CC917" s="56"/>
      <c r="CD917" s="56"/>
      <c r="CE917" s="56"/>
      <c r="CF917" s="56"/>
      <c r="CG917" s="56"/>
      <c r="CH917" s="56"/>
      <c r="CI917" s="56"/>
      <c r="CJ917" s="56"/>
      <c r="CK917" s="56"/>
      <c r="CL917" s="56"/>
      <c r="CM917" s="56"/>
      <c r="CN917" s="56"/>
      <c r="CO917" s="56"/>
      <c r="CP917" s="56"/>
      <c r="CQ917" s="56"/>
      <c r="CR917" s="56"/>
      <c r="CS917" s="56"/>
      <c r="CT917" s="56"/>
      <c r="CU917" s="56"/>
      <c r="CV917" s="56"/>
      <c r="CW917" s="56"/>
      <c r="CX917" s="56"/>
      <c r="CY917" s="56"/>
      <c r="CZ917" s="56"/>
      <c r="DA917" s="56"/>
      <c r="DB917" s="56"/>
      <c r="DC917" s="56"/>
      <c r="DD917" s="56"/>
      <c r="DE917" s="56"/>
      <c r="DF917" s="56"/>
      <c r="DG917" s="56"/>
      <c r="DH917" s="56"/>
      <c r="DI917" s="56"/>
      <c r="DJ917" s="56"/>
      <c r="DK917" s="56"/>
      <c r="DL917" s="56"/>
      <c r="DM917" s="56"/>
      <c r="DN917" s="56"/>
      <c r="DO917" s="56"/>
      <c r="DP917" s="56"/>
      <c r="DQ917" s="56"/>
      <c r="DR917" s="56"/>
      <c r="DS917" s="56"/>
      <c r="DT917" s="56"/>
      <c r="DU917" s="56"/>
      <c r="DV917" s="56"/>
      <c r="DW917" s="56"/>
      <c r="DX917" s="56"/>
      <c r="DY917" s="56"/>
      <c r="DZ917" s="56"/>
      <c r="EA917" s="56"/>
      <c r="EB917" s="56"/>
      <c r="EC917" s="56"/>
      <c r="ED917" s="56"/>
      <c r="EE917" s="56"/>
      <c r="EF917" s="56"/>
      <c r="EG917" s="56"/>
      <c r="EH917" s="56"/>
      <c r="EI917" s="56"/>
      <c r="EJ917" s="56"/>
      <c r="EK917" s="56"/>
      <c r="EL917" s="56"/>
      <c r="EM917" s="56"/>
      <c r="EN917" s="56"/>
      <c r="EO917" s="56"/>
      <c r="EP917" s="56"/>
      <c r="EQ917" s="56"/>
      <c r="ER917" s="56"/>
      <c r="ES917" s="56"/>
      <c r="ET917" s="56"/>
      <c r="EU917" s="56"/>
      <c r="EV917" s="56"/>
      <c r="EW917" s="56"/>
      <c r="EX917" s="56"/>
      <c r="EY917" s="56"/>
      <c r="EZ917" s="56"/>
      <c r="FA917" s="56"/>
      <c r="FB917" s="56"/>
      <c r="FC917" s="56"/>
      <c r="FD917" s="56"/>
      <c r="FE917" s="56"/>
      <c r="FF917" s="56"/>
      <c r="FG917" s="56"/>
      <c r="FH917" s="56"/>
      <c r="FI917" s="56"/>
      <c r="FJ917" s="56"/>
      <c r="FK917" s="56"/>
      <c r="FL917" s="56"/>
      <c r="FM917" s="56"/>
      <c r="FN917" s="56"/>
      <c r="FO917" s="56"/>
      <c r="FP917" s="56"/>
      <c r="FQ917" s="56"/>
      <c r="FR917" s="56"/>
      <c r="FS917" s="56"/>
      <c r="FT917" s="56"/>
      <c r="FU917" s="56"/>
      <c r="FV917" s="56"/>
      <c r="FW917" s="56"/>
      <c r="FX917" s="56"/>
      <c r="FY917" s="56"/>
      <c r="FZ917" s="56"/>
      <c r="GA917" s="56"/>
      <c r="GB917" s="56"/>
      <c r="GC917" s="56"/>
      <c r="GD917" s="56"/>
      <c r="GE917" s="56"/>
      <c r="GF917" s="56"/>
    </row>
    <row r="918" spans="1:48" s="18" customFormat="1" ht="15.75" customHeight="1">
      <c r="A918" s="50"/>
      <c r="B918" s="93" t="s">
        <v>669</v>
      </c>
      <c r="C918" s="16"/>
      <c r="D918" s="52"/>
      <c r="E918" s="52"/>
      <c r="F918" s="52"/>
      <c r="G918" s="52"/>
      <c r="H918" s="52"/>
      <c r="I918" s="52"/>
      <c r="J918" s="52"/>
      <c r="K918" s="52"/>
      <c r="L918" s="60">
        <f>SUM(L919:L923)</f>
        <v>8</v>
      </c>
      <c r="M918" s="60">
        <f>SUM(M919:M923)</f>
        <v>6</v>
      </c>
      <c r="N918" s="60">
        <f>SUM(N919:N923)</f>
        <v>6</v>
      </c>
      <c r="O918" s="60">
        <f>SUM(O919:O923)</f>
        <v>4</v>
      </c>
      <c r="P918" s="60">
        <f>SUM(P919:P923)</f>
        <v>2</v>
      </c>
      <c r="Q918" s="23"/>
      <c r="R918" s="23"/>
      <c r="S918" s="17"/>
      <c r="T918" s="47"/>
      <c r="U918" s="47"/>
      <c r="V918" s="47"/>
      <c r="W918" s="47"/>
      <c r="X918" s="47"/>
      <c r="Y918" s="47"/>
      <c r="Z918" s="47"/>
      <c r="AA918" s="47"/>
      <c r="AB918" s="47"/>
      <c r="AC918" s="47"/>
      <c r="AD918" s="47"/>
      <c r="AE918" s="47"/>
      <c r="AF918" s="47"/>
      <c r="AG918" s="47"/>
      <c r="AH918" s="47"/>
      <c r="AI918" s="47"/>
      <c r="AJ918" s="47"/>
      <c r="AK918" s="47"/>
      <c r="AL918" s="47"/>
      <c r="AM918" s="47"/>
      <c r="AN918" s="47"/>
      <c r="AO918" s="47"/>
      <c r="AP918" s="47"/>
      <c r="AQ918" s="47"/>
      <c r="AR918" s="47"/>
      <c r="AS918" s="47"/>
      <c r="AT918" s="47"/>
      <c r="AU918" s="47"/>
      <c r="AV918" s="47"/>
    </row>
    <row r="919" spans="1:48" s="27" customFormat="1" ht="15.75" customHeight="1">
      <c r="A919" s="12"/>
      <c r="B919" s="111" t="s">
        <v>748</v>
      </c>
      <c r="C919" s="15" t="s">
        <v>749</v>
      </c>
      <c r="D919" s="51"/>
      <c r="E919" s="51"/>
      <c r="F919" s="51"/>
      <c r="G919" s="51">
        <v>13</v>
      </c>
      <c r="H919" s="51">
        <v>13</v>
      </c>
      <c r="I919" s="51">
        <v>15</v>
      </c>
      <c r="J919" s="51">
        <v>16</v>
      </c>
      <c r="K919" s="51">
        <v>16</v>
      </c>
      <c r="L919" s="40">
        <v>3</v>
      </c>
      <c r="M919" s="40" t="s">
        <v>556</v>
      </c>
      <c r="N919" s="40">
        <v>2</v>
      </c>
      <c r="O919" s="40">
        <v>1</v>
      </c>
      <c r="P919" s="40" t="s">
        <v>556</v>
      </c>
      <c r="Q919" s="30"/>
      <c r="R919" s="30"/>
      <c r="S919" s="30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</row>
    <row r="920" spans="1:48" s="27" customFormat="1" ht="15.75" customHeight="1">
      <c r="A920" s="12"/>
      <c r="B920" s="105" t="s">
        <v>1331</v>
      </c>
      <c r="C920" s="15">
        <v>17050137</v>
      </c>
      <c r="D920" s="51"/>
      <c r="E920" s="51"/>
      <c r="F920" s="51"/>
      <c r="G920" s="51">
        <v>3</v>
      </c>
      <c r="H920" s="51">
        <v>6</v>
      </c>
      <c r="I920" s="51">
        <v>8</v>
      </c>
      <c r="J920" s="51">
        <v>9</v>
      </c>
      <c r="K920" s="51">
        <v>9</v>
      </c>
      <c r="L920" s="40">
        <v>1</v>
      </c>
      <c r="M920" s="40">
        <v>3</v>
      </c>
      <c r="N920" s="40">
        <v>2</v>
      </c>
      <c r="O920" s="40">
        <v>1</v>
      </c>
      <c r="P920" s="40" t="s">
        <v>556</v>
      </c>
      <c r="Q920" s="30"/>
      <c r="R920" s="30"/>
      <c r="S920" s="30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</row>
    <row r="921" spans="1:48" s="27" customFormat="1" ht="15.75" customHeight="1">
      <c r="A921" s="12"/>
      <c r="B921" s="105" t="s">
        <v>1329</v>
      </c>
      <c r="C921" s="66" t="s">
        <v>1330</v>
      </c>
      <c r="D921" s="51"/>
      <c r="E921" s="51"/>
      <c r="F921" s="51"/>
      <c r="G921" s="51">
        <v>4</v>
      </c>
      <c r="H921" s="51">
        <v>5</v>
      </c>
      <c r="I921" s="51">
        <v>5</v>
      </c>
      <c r="J921" s="51">
        <v>5</v>
      </c>
      <c r="K921" s="51">
        <v>5</v>
      </c>
      <c r="L921" s="40">
        <v>1</v>
      </c>
      <c r="M921" s="40">
        <v>1</v>
      </c>
      <c r="N921" s="40" t="s">
        <v>556</v>
      </c>
      <c r="O921" s="40" t="s">
        <v>556</v>
      </c>
      <c r="P921" s="40" t="s">
        <v>556</v>
      </c>
      <c r="Q921" s="30"/>
      <c r="R921" s="30"/>
      <c r="S921" s="30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</row>
    <row r="922" spans="1:48" s="27" customFormat="1" ht="15.75" customHeight="1">
      <c r="A922" s="12"/>
      <c r="B922" s="97" t="s">
        <v>448</v>
      </c>
      <c r="C922" s="29" t="s">
        <v>449</v>
      </c>
      <c r="D922" s="51"/>
      <c r="E922" s="51"/>
      <c r="F922" s="51"/>
      <c r="G922" s="51">
        <v>1</v>
      </c>
      <c r="H922" s="51">
        <v>1</v>
      </c>
      <c r="I922" s="51">
        <v>1</v>
      </c>
      <c r="J922" s="51">
        <v>1</v>
      </c>
      <c r="K922" s="51">
        <v>1</v>
      </c>
      <c r="L922" s="40">
        <v>1</v>
      </c>
      <c r="M922" s="40" t="s">
        <v>556</v>
      </c>
      <c r="N922" s="40" t="s">
        <v>556</v>
      </c>
      <c r="O922" s="40" t="s">
        <v>556</v>
      </c>
      <c r="P922" s="40" t="s">
        <v>556</v>
      </c>
      <c r="Q922" s="30"/>
      <c r="R922" s="30"/>
      <c r="S922" s="30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</row>
    <row r="923" spans="1:48" s="27" customFormat="1" ht="15.75" customHeight="1">
      <c r="A923" s="12"/>
      <c r="B923" s="97" t="s">
        <v>1332</v>
      </c>
      <c r="C923" s="29" t="s">
        <v>1333</v>
      </c>
      <c r="D923" s="51"/>
      <c r="E923" s="51"/>
      <c r="F923" s="51"/>
      <c r="G923" s="51">
        <v>3</v>
      </c>
      <c r="H923" s="51">
        <v>3</v>
      </c>
      <c r="I923" s="51">
        <v>3</v>
      </c>
      <c r="J923" s="51">
        <v>3</v>
      </c>
      <c r="K923" s="51">
        <v>3</v>
      </c>
      <c r="L923" s="40">
        <v>2</v>
      </c>
      <c r="M923" s="40">
        <v>2</v>
      </c>
      <c r="N923" s="40">
        <v>2</v>
      </c>
      <c r="O923" s="40">
        <v>2</v>
      </c>
      <c r="P923" s="40">
        <v>2</v>
      </c>
      <c r="Q923" s="30"/>
      <c r="R923" s="30"/>
      <c r="S923" s="30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</row>
    <row r="924" spans="1:48" s="18" customFormat="1" ht="17.25" customHeight="1">
      <c r="A924" s="50"/>
      <c r="B924" s="93" t="s">
        <v>670</v>
      </c>
      <c r="C924" s="16"/>
      <c r="D924" s="52"/>
      <c r="E924" s="52"/>
      <c r="F924" s="52"/>
      <c r="G924" s="52"/>
      <c r="H924" s="52"/>
      <c r="I924" s="52"/>
      <c r="J924" s="52"/>
      <c r="K924" s="52"/>
      <c r="L924" s="60">
        <f>L925</f>
        <v>1</v>
      </c>
      <c r="M924" s="60">
        <f>M925</f>
        <v>1</v>
      </c>
      <c r="N924" s="60" t="s">
        <v>556</v>
      </c>
      <c r="O924" s="60" t="str">
        <f>O925</f>
        <v> -</v>
      </c>
      <c r="P924" s="60" t="str">
        <f>P925</f>
        <v> -</v>
      </c>
      <c r="Q924" s="23"/>
      <c r="R924" s="23"/>
      <c r="S924" s="17"/>
      <c r="T924" s="47"/>
      <c r="U924" s="47"/>
      <c r="V924" s="47"/>
      <c r="W924" s="47"/>
      <c r="X924" s="47"/>
      <c r="Y924" s="47"/>
      <c r="Z924" s="47"/>
      <c r="AA924" s="47"/>
      <c r="AB924" s="47"/>
      <c r="AC924" s="47"/>
      <c r="AD924" s="47"/>
      <c r="AE924" s="47"/>
      <c r="AF924" s="47"/>
      <c r="AG924" s="47"/>
      <c r="AH924" s="47"/>
      <c r="AI924" s="47"/>
      <c r="AJ924" s="47"/>
      <c r="AK924" s="47"/>
      <c r="AL924" s="47"/>
      <c r="AM924" s="47"/>
      <c r="AN924" s="47"/>
      <c r="AO924" s="47"/>
      <c r="AP924" s="47"/>
      <c r="AQ924" s="47"/>
      <c r="AR924" s="47"/>
      <c r="AS924" s="47"/>
      <c r="AT924" s="47"/>
      <c r="AU924" s="47"/>
      <c r="AV924" s="47"/>
    </row>
    <row r="925" spans="1:48" s="27" customFormat="1" ht="16.5" customHeight="1">
      <c r="A925" s="12"/>
      <c r="B925" s="97" t="s">
        <v>1287</v>
      </c>
      <c r="C925" s="15" t="s">
        <v>1288</v>
      </c>
      <c r="D925" s="40"/>
      <c r="E925" s="40"/>
      <c r="F925" s="40">
        <v>19</v>
      </c>
      <c r="G925" s="40">
        <v>24</v>
      </c>
      <c r="H925" s="40">
        <v>25</v>
      </c>
      <c r="I925" s="40">
        <v>25</v>
      </c>
      <c r="J925" s="40"/>
      <c r="K925" s="40">
        <v>25</v>
      </c>
      <c r="L925" s="40">
        <v>1</v>
      </c>
      <c r="M925" s="40">
        <v>1</v>
      </c>
      <c r="N925" s="40" t="s">
        <v>556</v>
      </c>
      <c r="O925" s="40" t="s">
        <v>556</v>
      </c>
      <c r="P925" s="40" t="s">
        <v>556</v>
      </c>
      <c r="Q925" s="30"/>
      <c r="R925" s="30"/>
      <c r="S925" s="30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</row>
    <row r="926" spans="1:19" s="211" customFormat="1" ht="16.5" customHeight="1">
      <c r="A926" s="13">
        <v>33</v>
      </c>
      <c r="B926" s="92" t="s">
        <v>814</v>
      </c>
      <c r="C926" s="15"/>
      <c r="D926" s="44">
        <v>82</v>
      </c>
      <c r="E926" s="44">
        <f>E927+E931+E934</f>
        <v>3</v>
      </c>
      <c r="F926" s="44">
        <f aca="true" t="shared" si="32" ref="F926:P926">F927+F931+F934</f>
        <v>0</v>
      </c>
      <c r="G926" s="44">
        <f t="shared" si="32"/>
        <v>0</v>
      </c>
      <c r="H926" s="44">
        <f t="shared" si="32"/>
        <v>0</v>
      </c>
      <c r="I926" s="44">
        <f t="shared" si="32"/>
        <v>0</v>
      </c>
      <c r="J926" s="44">
        <f t="shared" si="32"/>
        <v>0</v>
      </c>
      <c r="K926" s="44">
        <f t="shared" si="32"/>
        <v>0</v>
      </c>
      <c r="L926" s="44"/>
      <c r="M926" s="44">
        <f t="shared" si="32"/>
        <v>8</v>
      </c>
      <c r="N926" s="44">
        <f t="shared" si="32"/>
        <v>10</v>
      </c>
      <c r="O926" s="44">
        <f t="shared" si="32"/>
        <v>7</v>
      </c>
      <c r="P926" s="44">
        <f t="shared" si="32"/>
        <v>2</v>
      </c>
      <c r="Q926" s="210"/>
      <c r="R926" s="210"/>
      <c r="S926" s="210"/>
    </row>
    <row r="927" spans="1:19" s="207" customFormat="1" ht="15.75" customHeight="1">
      <c r="A927" s="50"/>
      <c r="B927" s="93" t="s">
        <v>669</v>
      </c>
      <c r="C927" s="94"/>
      <c r="D927" s="60">
        <f>D928+D929+D930</f>
        <v>26</v>
      </c>
      <c r="E927" s="60">
        <f aca="true" t="shared" si="33" ref="E927:P927">E928+E929+E930</f>
        <v>1</v>
      </c>
      <c r="F927" s="60">
        <f t="shared" si="33"/>
        <v>0</v>
      </c>
      <c r="G927" s="60">
        <f t="shared" si="33"/>
        <v>0</v>
      </c>
      <c r="H927" s="60">
        <f t="shared" si="33"/>
        <v>0</v>
      </c>
      <c r="I927" s="60">
        <f t="shared" si="33"/>
        <v>0</v>
      </c>
      <c r="J927" s="60">
        <f t="shared" si="33"/>
        <v>0</v>
      </c>
      <c r="K927" s="60">
        <f t="shared" si="33"/>
        <v>0</v>
      </c>
      <c r="L927" s="60"/>
      <c r="M927" s="60">
        <f t="shared" si="33"/>
        <v>4</v>
      </c>
      <c r="N927" s="60">
        <f t="shared" si="33"/>
        <v>6</v>
      </c>
      <c r="O927" s="60">
        <f t="shared" si="33"/>
        <v>7</v>
      </c>
      <c r="P927" s="60">
        <f t="shared" si="33"/>
        <v>2</v>
      </c>
      <c r="Q927" s="216"/>
      <c r="R927" s="216"/>
      <c r="S927" s="217"/>
    </row>
    <row r="928" spans="1:19" s="211" customFormat="1" ht="16.5" customHeight="1">
      <c r="A928" s="12"/>
      <c r="B928" s="97" t="s">
        <v>568</v>
      </c>
      <c r="C928" s="350">
        <v>24010138</v>
      </c>
      <c r="D928" s="341">
        <v>1</v>
      </c>
      <c r="E928" s="341"/>
      <c r="F928" s="40"/>
      <c r="G928" s="40"/>
      <c r="H928" s="40"/>
      <c r="I928" s="40"/>
      <c r="J928" s="40"/>
      <c r="K928" s="40"/>
      <c r="L928" s="40"/>
      <c r="M928" s="341"/>
      <c r="N928" s="341"/>
      <c r="O928" s="341">
        <v>1</v>
      </c>
      <c r="P928" s="341"/>
      <c r="Q928" s="210"/>
      <c r="R928" s="210"/>
      <c r="S928" s="210"/>
    </row>
    <row r="929" spans="1:19" s="211" customFormat="1" ht="16.5" customHeight="1">
      <c r="A929" s="12"/>
      <c r="B929" s="97" t="s">
        <v>1093</v>
      </c>
      <c r="C929" s="350">
        <v>16771</v>
      </c>
      <c r="D929" s="341">
        <v>5</v>
      </c>
      <c r="E929" s="341"/>
      <c r="F929" s="40"/>
      <c r="G929" s="40"/>
      <c r="H929" s="40"/>
      <c r="I929" s="40"/>
      <c r="J929" s="40"/>
      <c r="K929" s="40"/>
      <c r="L929" s="40"/>
      <c r="M929" s="341">
        <v>1</v>
      </c>
      <c r="N929" s="341">
        <v>1</v>
      </c>
      <c r="O929" s="341">
        <v>1</v>
      </c>
      <c r="P929" s="341">
        <v>1</v>
      </c>
      <c r="Q929" s="210"/>
      <c r="R929" s="210"/>
      <c r="S929" s="210"/>
    </row>
    <row r="930" spans="1:19" s="211" customFormat="1" ht="16.5" customHeight="1">
      <c r="A930" s="12"/>
      <c r="B930" s="97" t="s">
        <v>1094</v>
      </c>
      <c r="C930" s="350">
        <v>19293</v>
      </c>
      <c r="D930" s="341">
        <v>20</v>
      </c>
      <c r="E930" s="341">
        <v>1</v>
      </c>
      <c r="F930" s="40"/>
      <c r="G930" s="40"/>
      <c r="H930" s="40"/>
      <c r="I930" s="40"/>
      <c r="J930" s="40"/>
      <c r="K930" s="40"/>
      <c r="L930" s="40"/>
      <c r="M930" s="341">
        <v>3</v>
      </c>
      <c r="N930" s="341">
        <v>5</v>
      </c>
      <c r="O930" s="341">
        <v>5</v>
      </c>
      <c r="P930" s="341">
        <v>1</v>
      </c>
      <c r="Q930" s="210"/>
      <c r="R930" s="210"/>
      <c r="S930" s="210"/>
    </row>
    <row r="931" spans="1:19" s="211" customFormat="1" ht="16.5" customHeight="1">
      <c r="A931" s="12"/>
      <c r="B931" s="93" t="s">
        <v>670</v>
      </c>
      <c r="C931" s="15"/>
      <c r="D931" s="60">
        <f>D932+D933</f>
        <v>13</v>
      </c>
      <c r="E931" s="60">
        <f aca="true" t="shared" si="34" ref="E931:N931">E932+E933</f>
        <v>1</v>
      </c>
      <c r="F931" s="60">
        <f t="shared" si="34"/>
        <v>0</v>
      </c>
      <c r="G931" s="60">
        <f t="shared" si="34"/>
        <v>0</v>
      </c>
      <c r="H931" s="60">
        <f t="shared" si="34"/>
        <v>0</v>
      </c>
      <c r="I931" s="60">
        <f t="shared" si="34"/>
        <v>0</v>
      </c>
      <c r="J931" s="60">
        <f t="shared" si="34"/>
        <v>0</v>
      </c>
      <c r="K931" s="60">
        <f t="shared" si="34"/>
        <v>0</v>
      </c>
      <c r="L931" s="60"/>
      <c r="M931" s="60">
        <f>M932</f>
        <v>1</v>
      </c>
      <c r="N931" s="60">
        <f t="shared" si="34"/>
        <v>2</v>
      </c>
      <c r="O931" s="60"/>
      <c r="P931" s="60"/>
      <c r="Q931" s="210"/>
      <c r="R931" s="210"/>
      <c r="S931" s="210"/>
    </row>
    <row r="932" spans="1:19" s="211" customFormat="1" ht="16.5" customHeight="1">
      <c r="A932" s="12"/>
      <c r="B932" s="97" t="s">
        <v>1095</v>
      </c>
      <c r="C932" s="350">
        <v>13644</v>
      </c>
      <c r="D932" s="341">
        <v>5</v>
      </c>
      <c r="E932" s="341">
        <v>1</v>
      </c>
      <c r="F932" s="40"/>
      <c r="G932" s="40"/>
      <c r="H932" s="40"/>
      <c r="I932" s="40"/>
      <c r="J932" s="40"/>
      <c r="K932" s="40"/>
      <c r="L932" s="40"/>
      <c r="M932" s="341">
        <v>1</v>
      </c>
      <c r="N932" s="341">
        <v>1</v>
      </c>
      <c r="O932" s="341"/>
      <c r="P932" s="341"/>
      <c r="Q932" s="210"/>
      <c r="R932" s="210"/>
      <c r="S932" s="210"/>
    </row>
    <row r="933" spans="1:19" s="211" customFormat="1" ht="16.5" customHeight="1">
      <c r="A933" s="12"/>
      <c r="B933" s="97" t="s">
        <v>1096</v>
      </c>
      <c r="C933" s="350">
        <v>14133</v>
      </c>
      <c r="D933" s="341">
        <v>8</v>
      </c>
      <c r="E933" s="341"/>
      <c r="F933" s="40"/>
      <c r="G933" s="40"/>
      <c r="H933" s="40"/>
      <c r="I933" s="40"/>
      <c r="J933" s="40"/>
      <c r="K933" s="40"/>
      <c r="L933" s="40"/>
      <c r="M933" s="341"/>
      <c r="N933" s="341">
        <v>1</v>
      </c>
      <c r="O933" s="341"/>
      <c r="P933" s="341"/>
      <c r="Q933" s="210"/>
      <c r="R933" s="210"/>
      <c r="S933" s="210"/>
    </row>
    <row r="934" spans="1:19" s="211" customFormat="1" ht="16.5" customHeight="1">
      <c r="A934" s="12"/>
      <c r="B934" s="93" t="s">
        <v>37</v>
      </c>
      <c r="C934" s="15"/>
      <c r="D934" s="60">
        <f>D935+D936</f>
        <v>7</v>
      </c>
      <c r="E934" s="60">
        <f aca="true" t="shared" si="35" ref="E934:S934">E935+E936</f>
        <v>1</v>
      </c>
      <c r="F934" s="60">
        <f t="shared" si="35"/>
        <v>0</v>
      </c>
      <c r="G934" s="60">
        <f t="shared" si="35"/>
        <v>0</v>
      </c>
      <c r="H934" s="60">
        <f t="shared" si="35"/>
        <v>0</v>
      </c>
      <c r="I934" s="60">
        <f t="shared" si="35"/>
        <v>0</v>
      </c>
      <c r="J934" s="60">
        <f t="shared" si="35"/>
        <v>0</v>
      </c>
      <c r="K934" s="60">
        <f t="shared" si="35"/>
        <v>0</v>
      </c>
      <c r="L934" s="60">
        <f t="shared" si="35"/>
        <v>0</v>
      </c>
      <c r="M934" s="60">
        <f t="shared" si="35"/>
        <v>3</v>
      </c>
      <c r="N934" s="60">
        <f t="shared" si="35"/>
        <v>2</v>
      </c>
      <c r="O934" s="60"/>
      <c r="P934" s="60"/>
      <c r="Q934" s="209">
        <f t="shared" si="35"/>
        <v>0</v>
      </c>
      <c r="R934" s="209">
        <f t="shared" si="35"/>
        <v>0</v>
      </c>
      <c r="S934" s="209">
        <f t="shared" si="35"/>
        <v>0</v>
      </c>
    </row>
    <row r="935" spans="1:19" s="211" customFormat="1" ht="16.5" customHeight="1">
      <c r="A935" s="12"/>
      <c r="B935" s="97" t="s">
        <v>1097</v>
      </c>
      <c r="C935" s="350">
        <v>26110062</v>
      </c>
      <c r="D935" s="341">
        <v>4</v>
      </c>
      <c r="E935" s="341"/>
      <c r="F935" s="40"/>
      <c r="G935" s="40"/>
      <c r="H935" s="40"/>
      <c r="I935" s="40"/>
      <c r="J935" s="40"/>
      <c r="K935" s="40"/>
      <c r="L935" s="40"/>
      <c r="M935" s="341">
        <v>2</v>
      </c>
      <c r="N935" s="341">
        <v>1</v>
      </c>
      <c r="O935" s="341"/>
      <c r="P935" s="341"/>
      <c r="Q935" s="210"/>
      <c r="R935" s="210"/>
      <c r="S935" s="210"/>
    </row>
    <row r="936" spans="1:19" s="211" customFormat="1" ht="16.5" customHeight="1">
      <c r="A936" s="12"/>
      <c r="B936" s="97" t="s">
        <v>1098</v>
      </c>
      <c r="C936" s="352" t="s">
        <v>571</v>
      </c>
      <c r="D936" s="341">
        <v>3</v>
      </c>
      <c r="E936" s="341">
        <v>1</v>
      </c>
      <c r="F936" s="40"/>
      <c r="G936" s="40"/>
      <c r="H936" s="40"/>
      <c r="I936" s="40"/>
      <c r="J936" s="40"/>
      <c r="K936" s="40"/>
      <c r="L936" s="40"/>
      <c r="M936" s="341">
        <v>1</v>
      </c>
      <c r="N936" s="341">
        <v>1</v>
      </c>
      <c r="O936" s="341"/>
      <c r="P936" s="341"/>
      <c r="Q936" s="210"/>
      <c r="R936" s="210"/>
      <c r="S936" s="210"/>
    </row>
    <row r="937" spans="1:19" s="211" customFormat="1" ht="16.5" customHeight="1">
      <c r="A937" s="13">
        <v>34</v>
      </c>
      <c r="B937" s="392" t="s">
        <v>816</v>
      </c>
      <c r="C937" s="350"/>
      <c r="D937" s="393">
        <v>43</v>
      </c>
      <c r="E937" s="393">
        <f aca="true" t="shared" si="36" ref="E937:N937">E938+E945+E946</f>
        <v>1</v>
      </c>
      <c r="F937" s="393">
        <f t="shared" si="36"/>
        <v>0</v>
      </c>
      <c r="G937" s="393">
        <f t="shared" si="36"/>
        <v>0</v>
      </c>
      <c r="H937" s="393">
        <f t="shared" si="36"/>
        <v>0</v>
      </c>
      <c r="I937" s="393">
        <f t="shared" si="36"/>
        <v>0</v>
      </c>
      <c r="J937" s="393">
        <f t="shared" si="36"/>
        <v>0</v>
      </c>
      <c r="K937" s="393">
        <f t="shared" si="36"/>
        <v>0</v>
      </c>
      <c r="L937" s="393"/>
      <c r="M937" s="393">
        <f t="shared" si="36"/>
        <v>5</v>
      </c>
      <c r="N937" s="393">
        <f t="shared" si="36"/>
        <v>1</v>
      </c>
      <c r="O937" s="393"/>
      <c r="P937" s="393"/>
      <c r="Q937" s="210"/>
      <c r="R937" s="210"/>
      <c r="S937" s="210"/>
    </row>
    <row r="938" spans="1:19" s="207" customFormat="1" ht="18" customHeight="1">
      <c r="A938" s="50"/>
      <c r="B938" s="93" t="s">
        <v>669</v>
      </c>
      <c r="C938" s="94"/>
      <c r="D938" s="60">
        <f>D939+D940+D941+D942+D943+D944</f>
        <v>21</v>
      </c>
      <c r="E938" s="60"/>
      <c r="F938" s="60"/>
      <c r="G938" s="60"/>
      <c r="H938" s="60"/>
      <c r="I938" s="60"/>
      <c r="J938" s="60"/>
      <c r="K938" s="60"/>
      <c r="L938" s="60"/>
      <c r="M938" s="60">
        <f>M939+M940+M941+M942+M943+M944</f>
        <v>5</v>
      </c>
      <c r="N938" s="60">
        <f>N939+N940+N941+N942+N943+N944</f>
        <v>1</v>
      </c>
      <c r="O938" s="60"/>
      <c r="P938" s="60"/>
      <c r="Q938" s="216"/>
      <c r="R938" s="216"/>
      <c r="S938" s="217"/>
    </row>
    <row r="939" spans="1:19" s="219" customFormat="1" ht="18" customHeight="1">
      <c r="A939" s="12"/>
      <c r="B939" s="97" t="s">
        <v>568</v>
      </c>
      <c r="C939" s="12">
        <v>24010138</v>
      </c>
      <c r="D939" s="341">
        <v>1</v>
      </c>
      <c r="E939" s="341"/>
      <c r="F939" s="40"/>
      <c r="G939" s="40"/>
      <c r="H939" s="40"/>
      <c r="I939" s="40"/>
      <c r="J939" s="40"/>
      <c r="K939" s="40"/>
      <c r="L939" s="40"/>
      <c r="M939" s="341">
        <v>1</v>
      </c>
      <c r="N939" s="341"/>
      <c r="O939" s="341"/>
      <c r="P939" s="341"/>
      <c r="Q939" s="210"/>
      <c r="R939" s="210"/>
      <c r="S939" s="228"/>
    </row>
    <row r="940" spans="1:19" s="211" customFormat="1" ht="16.5" customHeight="1">
      <c r="A940" s="12"/>
      <c r="B940" s="97" t="s">
        <v>1099</v>
      </c>
      <c r="C940" s="12">
        <v>11768</v>
      </c>
      <c r="D940" s="341"/>
      <c r="E940" s="341"/>
      <c r="F940" s="40"/>
      <c r="G940" s="40"/>
      <c r="H940" s="40"/>
      <c r="I940" s="40"/>
      <c r="J940" s="40"/>
      <c r="K940" s="40"/>
      <c r="L940" s="40"/>
      <c r="M940" s="341">
        <v>1</v>
      </c>
      <c r="N940" s="341"/>
      <c r="O940" s="341"/>
      <c r="P940" s="341"/>
      <c r="Q940" s="210"/>
      <c r="R940" s="210"/>
      <c r="S940" s="210"/>
    </row>
    <row r="941" spans="1:19" s="211" customFormat="1" ht="16.5" customHeight="1">
      <c r="A941" s="12"/>
      <c r="B941" s="97" t="s">
        <v>1100</v>
      </c>
      <c r="C941" s="12">
        <v>17030123</v>
      </c>
      <c r="D941" s="341">
        <v>18</v>
      </c>
      <c r="E941" s="341"/>
      <c r="F941" s="40"/>
      <c r="G941" s="40"/>
      <c r="H941" s="40"/>
      <c r="I941" s="40"/>
      <c r="J941" s="40"/>
      <c r="K941" s="40"/>
      <c r="L941" s="40"/>
      <c r="M941" s="341"/>
      <c r="N941" s="341"/>
      <c r="O941" s="341"/>
      <c r="P941" s="341"/>
      <c r="Q941" s="210"/>
      <c r="R941" s="210"/>
      <c r="S941" s="210"/>
    </row>
    <row r="942" spans="1:19" s="211" customFormat="1" ht="16.5" customHeight="1">
      <c r="A942" s="12"/>
      <c r="B942" s="97" t="s">
        <v>1101</v>
      </c>
      <c r="C942" s="12">
        <v>17030040</v>
      </c>
      <c r="D942" s="341">
        <v>2</v>
      </c>
      <c r="E942" s="341"/>
      <c r="F942" s="40"/>
      <c r="G942" s="40"/>
      <c r="H942" s="40"/>
      <c r="I942" s="40"/>
      <c r="J942" s="40"/>
      <c r="K942" s="40"/>
      <c r="L942" s="40"/>
      <c r="M942" s="341">
        <v>2</v>
      </c>
      <c r="N942" s="341"/>
      <c r="O942" s="341"/>
      <c r="P942" s="341"/>
      <c r="Q942" s="210"/>
      <c r="R942" s="210"/>
      <c r="S942" s="210"/>
    </row>
    <row r="943" spans="1:19" s="211" customFormat="1" ht="16.5" customHeight="1">
      <c r="A943" s="12"/>
      <c r="B943" s="97" t="s">
        <v>1093</v>
      </c>
      <c r="C943" s="12">
        <v>16771</v>
      </c>
      <c r="D943" s="341"/>
      <c r="E943" s="341"/>
      <c r="F943" s="40"/>
      <c r="G943" s="40"/>
      <c r="H943" s="40"/>
      <c r="I943" s="40"/>
      <c r="J943" s="40"/>
      <c r="K943" s="40"/>
      <c r="L943" s="40"/>
      <c r="M943" s="341">
        <v>1</v>
      </c>
      <c r="N943" s="341">
        <v>1</v>
      </c>
      <c r="O943" s="341"/>
      <c r="P943" s="341"/>
      <c r="Q943" s="210"/>
      <c r="R943" s="210"/>
      <c r="S943" s="210"/>
    </row>
    <row r="944" spans="1:19" s="211" customFormat="1" ht="16.5" customHeight="1">
      <c r="A944" s="12"/>
      <c r="B944" s="97" t="s">
        <v>1107</v>
      </c>
      <c r="C944" s="12">
        <v>16081</v>
      </c>
      <c r="D944" s="341"/>
      <c r="E944" s="341"/>
      <c r="F944" s="40"/>
      <c r="G944" s="40"/>
      <c r="H944" s="40"/>
      <c r="I944" s="40"/>
      <c r="J944" s="40"/>
      <c r="K944" s="40"/>
      <c r="L944" s="40"/>
      <c r="M944" s="341"/>
      <c r="N944" s="341"/>
      <c r="O944" s="341"/>
      <c r="P944" s="341"/>
      <c r="Q944" s="210"/>
      <c r="R944" s="210"/>
      <c r="S944" s="210"/>
    </row>
    <row r="945" spans="1:19" s="211" customFormat="1" ht="16.5" customHeight="1">
      <c r="A945" s="12"/>
      <c r="B945" s="93" t="s">
        <v>670</v>
      </c>
      <c r="C945" s="15"/>
      <c r="D945" s="394">
        <v>5</v>
      </c>
      <c r="E945" s="394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210"/>
      <c r="R945" s="210"/>
      <c r="S945" s="210"/>
    </row>
    <row r="946" spans="1:19" s="207" customFormat="1" ht="18" customHeight="1">
      <c r="A946" s="50"/>
      <c r="B946" s="93" t="s">
        <v>37</v>
      </c>
      <c r="C946" s="94"/>
      <c r="D946" s="394">
        <v>15</v>
      </c>
      <c r="E946" s="394">
        <v>1</v>
      </c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216"/>
      <c r="R946" s="216"/>
      <c r="S946" s="217"/>
    </row>
    <row r="947" spans="1:188" s="57" customFormat="1" ht="19.5" customHeight="1">
      <c r="A947" s="13">
        <v>33</v>
      </c>
      <c r="B947" s="92" t="s">
        <v>204</v>
      </c>
      <c r="C947" s="45"/>
      <c r="D947" s="44">
        <v>49</v>
      </c>
      <c r="E947" s="44">
        <v>20</v>
      </c>
      <c r="F947" s="44">
        <v>66</v>
      </c>
      <c r="G947" s="44">
        <v>60</v>
      </c>
      <c r="H947" s="44">
        <v>60</v>
      </c>
      <c r="I947" s="44">
        <v>60</v>
      </c>
      <c r="J947" s="44"/>
      <c r="K947" s="44">
        <v>60</v>
      </c>
      <c r="L947" s="44" t="s">
        <v>556</v>
      </c>
      <c r="M947" s="44">
        <f>SUM(M948,M952)</f>
        <v>3</v>
      </c>
      <c r="N947" s="44">
        <f>SUM(N948,N952)</f>
        <v>2</v>
      </c>
      <c r="O947" s="44">
        <f>SUM(O948,O952)</f>
        <v>2</v>
      </c>
      <c r="P947" s="44" t="s">
        <v>94</v>
      </c>
      <c r="Q947" s="54" t="s">
        <v>649</v>
      </c>
      <c r="R947" s="54">
        <v>1</v>
      </c>
      <c r="S947" s="55" t="s">
        <v>9</v>
      </c>
      <c r="T947" s="56"/>
      <c r="U947" s="56"/>
      <c r="V947" s="56"/>
      <c r="W947" s="56"/>
      <c r="X947" s="56"/>
      <c r="Y947" s="56"/>
      <c r="Z947" s="56"/>
      <c r="AA947" s="56"/>
      <c r="AB947" s="56"/>
      <c r="AC947" s="56"/>
      <c r="AD947" s="56"/>
      <c r="AE947" s="56"/>
      <c r="AF947" s="56"/>
      <c r="AG947" s="56"/>
      <c r="AH947" s="56"/>
      <c r="AI947" s="56"/>
      <c r="AJ947" s="56"/>
      <c r="AK947" s="56"/>
      <c r="AL947" s="56"/>
      <c r="AM947" s="56"/>
      <c r="AN947" s="56"/>
      <c r="AO947" s="56"/>
      <c r="AP947" s="56"/>
      <c r="AQ947" s="56"/>
      <c r="AR947" s="56"/>
      <c r="AS947" s="56"/>
      <c r="AT947" s="56"/>
      <c r="AU947" s="56"/>
      <c r="AV947" s="56"/>
      <c r="AW947" s="56"/>
      <c r="AX947" s="56"/>
      <c r="AY947" s="56"/>
      <c r="AZ947" s="56"/>
      <c r="BA947" s="56"/>
      <c r="BB947" s="56"/>
      <c r="BC947" s="56"/>
      <c r="BD947" s="56"/>
      <c r="BE947" s="56"/>
      <c r="BF947" s="56"/>
      <c r="BG947" s="56"/>
      <c r="BH947" s="56"/>
      <c r="BI947" s="56"/>
      <c r="BJ947" s="56"/>
      <c r="BK947" s="56"/>
      <c r="BL947" s="56"/>
      <c r="BM947" s="56"/>
      <c r="BN947" s="56"/>
      <c r="BO947" s="56"/>
      <c r="BP947" s="56"/>
      <c r="BQ947" s="56"/>
      <c r="BR947" s="56"/>
      <c r="BS947" s="56"/>
      <c r="BT947" s="56"/>
      <c r="BU947" s="56"/>
      <c r="BV947" s="56"/>
      <c r="BW947" s="56"/>
      <c r="BX947" s="56"/>
      <c r="BY947" s="56"/>
      <c r="BZ947" s="56"/>
      <c r="CA947" s="56"/>
      <c r="CB947" s="56"/>
      <c r="CC947" s="56"/>
      <c r="CD947" s="56"/>
      <c r="CE947" s="56"/>
      <c r="CF947" s="56"/>
      <c r="CG947" s="56"/>
      <c r="CH947" s="56"/>
      <c r="CI947" s="56"/>
      <c r="CJ947" s="56"/>
      <c r="CK947" s="56"/>
      <c r="CL947" s="56"/>
      <c r="CM947" s="56"/>
      <c r="CN947" s="56"/>
      <c r="CO947" s="56"/>
      <c r="CP947" s="56"/>
      <c r="CQ947" s="56"/>
      <c r="CR947" s="56"/>
      <c r="CS947" s="56"/>
      <c r="CT947" s="56"/>
      <c r="CU947" s="56"/>
      <c r="CV947" s="56"/>
      <c r="CW947" s="56"/>
      <c r="CX947" s="56"/>
      <c r="CY947" s="56"/>
      <c r="CZ947" s="56"/>
      <c r="DA947" s="56"/>
      <c r="DB947" s="56"/>
      <c r="DC947" s="56"/>
      <c r="DD947" s="56"/>
      <c r="DE947" s="56"/>
      <c r="DF947" s="56"/>
      <c r="DG947" s="56"/>
      <c r="DH947" s="56"/>
      <c r="DI947" s="56"/>
      <c r="DJ947" s="56"/>
      <c r="DK947" s="56"/>
      <c r="DL947" s="56"/>
      <c r="DM947" s="56"/>
      <c r="DN947" s="56"/>
      <c r="DO947" s="56"/>
      <c r="DP947" s="56"/>
      <c r="DQ947" s="56"/>
      <c r="DR947" s="56"/>
      <c r="DS947" s="56"/>
      <c r="DT947" s="56"/>
      <c r="DU947" s="56"/>
      <c r="DV947" s="56"/>
      <c r="DW947" s="56"/>
      <c r="DX947" s="56"/>
      <c r="DY947" s="56"/>
      <c r="DZ947" s="56"/>
      <c r="EA947" s="56"/>
      <c r="EB947" s="56"/>
      <c r="EC947" s="56"/>
      <c r="ED947" s="56"/>
      <c r="EE947" s="56"/>
      <c r="EF947" s="56"/>
      <c r="EG947" s="56"/>
      <c r="EH947" s="56"/>
      <c r="EI947" s="56"/>
      <c r="EJ947" s="56"/>
      <c r="EK947" s="56"/>
      <c r="EL947" s="56"/>
      <c r="EM947" s="56"/>
      <c r="EN947" s="56"/>
      <c r="EO947" s="56"/>
      <c r="EP947" s="56"/>
      <c r="EQ947" s="56"/>
      <c r="ER947" s="56"/>
      <c r="ES947" s="56"/>
      <c r="ET947" s="56"/>
      <c r="EU947" s="56"/>
      <c r="EV947" s="56"/>
      <c r="EW947" s="56"/>
      <c r="EX947" s="56"/>
      <c r="EY947" s="56"/>
      <c r="EZ947" s="56"/>
      <c r="FA947" s="56"/>
      <c r="FB947" s="56"/>
      <c r="FC947" s="56"/>
      <c r="FD947" s="56"/>
      <c r="FE947" s="56"/>
      <c r="FF947" s="56"/>
      <c r="FG947" s="56"/>
      <c r="FH947" s="56"/>
      <c r="FI947" s="56"/>
      <c r="FJ947" s="56"/>
      <c r="FK947" s="56"/>
      <c r="FL947" s="56"/>
      <c r="FM947" s="56"/>
      <c r="FN947" s="56"/>
      <c r="FO947" s="56"/>
      <c r="FP947" s="56"/>
      <c r="FQ947" s="56"/>
      <c r="FR947" s="56"/>
      <c r="FS947" s="56"/>
      <c r="FT947" s="56"/>
      <c r="FU947" s="56"/>
      <c r="FV947" s="56"/>
      <c r="FW947" s="56"/>
      <c r="FX947" s="56"/>
      <c r="FY947" s="56"/>
      <c r="FZ947" s="56"/>
      <c r="GA947" s="56"/>
      <c r="GB947" s="56"/>
      <c r="GC947" s="56"/>
      <c r="GD947" s="56"/>
      <c r="GE947" s="56"/>
      <c r="GF947" s="56"/>
    </row>
    <row r="948" spans="1:48" s="18" customFormat="1" ht="18" customHeight="1">
      <c r="A948" s="50"/>
      <c r="B948" s="93" t="s">
        <v>669</v>
      </c>
      <c r="C948" s="16"/>
      <c r="D948" s="52"/>
      <c r="E948" s="52"/>
      <c r="F948" s="52"/>
      <c r="G948" s="52"/>
      <c r="H948" s="52"/>
      <c r="I948" s="52"/>
      <c r="J948" s="52"/>
      <c r="K948" s="52"/>
      <c r="L948" s="60" t="s">
        <v>556</v>
      </c>
      <c r="M948" s="60">
        <f>SUM(M949:M951)</f>
        <v>2</v>
      </c>
      <c r="N948" s="60">
        <f>SUM(N949:N951)</f>
        <v>1</v>
      </c>
      <c r="O948" s="60">
        <f>SUM(O949:O951)</f>
        <v>1</v>
      </c>
      <c r="P948" s="60" t="s">
        <v>556</v>
      </c>
      <c r="Q948" s="23"/>
      <c r="R948" s="23"/>
      <c r="S948" s="17"/>
      <c r="T948" s="47"/>
      <c r="U948" s="47"/>
      <c r="V948" s="47"/>
      <c r="W948" s="47"/>
      <c r="X948" s="47"/>
      <c r="Y948" s="47"/>
      <c r="Z948" s="47"/>
      <c r="AA948" s="47"/>
      <c r="AB948" s="47"/>
      <c r="AC948" s="47"/>
      <c r="AD948" s="47"/>
      <c r="AE948" s="47"/>
      <c r="AF948" s="47"/>
      <c r="AG948" s="47"/>
      <c r="AH948" s="47"/>
      <c r="AI948" s="47"/>
      <c r="AJ948" s="47"/>
      <c r="AK948" s="47"/>
      <c r="AL948" s="47"/>
      <c r="AM948" s="47"/>
      <c r="AN948" s="47"/>
      <c r="AO948" s="47"/>
      <c r="AP948" s="47"/>
      <c r="AQ948" s="47"/>
      <c r="AR948" s="47"/>
      <c r="AS948" s="47"/>
      <c r="AT948" s="47"/>
      <c r="AU948" s="47"/>
      <c r="AV948" s="47"/>
    </row>
    <row r="949" spans="1:48" s="27" customFormat="1" ht="18" customHeight="1">
      <c r="A949" s="12"/>
      <c r="B949" s="97" t="s">
        <v>926</v>
      </c>
      <c r="C949" s="29" t="s">
        <v>925</v>
      </c>
      <c r="D949" s="51"/>
      <c r="E949" s="51"/>
      <c r="F949" s="51">
        <v>2</v>
      </c>
      <c r="G949" s="51">
        <v>2</v>
      </c>
      <c r="H949" s="51">
        <v>2</v>
      </c>
      <c r="I949" s="51">
        <v>2</v>
      </c>
      <c r="J949" s="51"/>
      <c r="K949" s="51">
        <v>2</v>
      </c>
      <c r="L949" s="40" t="s">
        <v>556</v>
      </c>
      <c r="M949" s="40">
        <v>1</v>
      </c>
      <c r="N949" s="40">
        <v>1</v>
      </c>
      <c r="O949" s="40" t="s">
        <v>556</v>
      </c>
      <c r="P949" s="40" t="s">
        <v>556</v>
      </c>
      <c r="Q949" s="30"/>
      <c r="R949" s="30"/>
      <c r="S949" s="30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</row>
    <row r="950" spans="1:48" s="27" customFormat="1" ht="18" customHeight="1">
      <c r="A950" s="12"/>
      <c r="B950" s="97" t="s">
        <v>799</v>
      </c>
      <c r="C950" s="29" t="s">
        <v>589</v>
      </c>
      <c r="D950" s="51"/>
      <c r="E950" s="51"/>
      <c r="F950" s="51">
        <v>13</v>
      </c>
      <c r="G950" s="51">
        <v>13</v>
      </c>
      <c r="H950" s="51">
        <v>13</v>
      </c>
      <c r="I950" s="51">
        <v>13</v>
      </c>
      <c r="J950" s="51"/>
      <c r="K950" s="51">
        <v>13</v>
      </c>
      <c r="L950" s="40" t="s">
        <v>556</v>
      </c>
      <c r="M950" s="40">
        <v>1</v>
      </c>
      <c r="N950" s="40" t="s">
        <v>556</v>
      </c>
      <c r="O950" s="40" t="s">
        <v>556</v>
      </c>
      <c r="P950" s="40" t="s">
        <v>556</v>
      </c>
      <c r="Q950" s="30"/>
      <c r="R950" s="30"/>
      <c r="S950" s="30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</row>
    <row r="951" spans="1:48" s="27" customFormat="1" ht="18" customHeight="1">
      <c r="A951" s="12"/>
      <c r="B951" s="97" t="s">
        <v>630</v>
      </c>
      <c r="C951" s="64" t="s">
        <v>631</v>
      </c>
      <c r="D951" s="51"/>
      <c r="E951" s="51"/>
      <c r="F951" s="51">
        <v>1</v>
      </c>
      <c r="G951" s="51">
        <v>1</v>
      </c>
      <c r="H951" s="51">
        <v>1</v>
      </c>
      <c r="I951" s="51">
        <v>1</v>
      </c>
      <c r="J951" s="51"/>
      <c r="K951" s="51">
        <v>1</v>
      </c>
      <c r="L951" s="40" t="s">
        <v>556</v>
      </c>
      <c r="M951" s="40" t="s">
        <v>556</v>
      </c>
      <c r="N951" s="40" t="s">
        <v>556</v>
      </c>
      <c r="O951" s="40">
        <v>1</v>
      </c>
      <c r="P951" s="40" t="s">
        <v>556</v>
      </c>
      <c r="Q951" s="30"/>
      <c r="R951" s="30"/>
      <c r="S951" s="30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</row>
    <row r="952" spans="1:48" s="18" customFormat="1" ht="18" customHeight="1">
      <c r="A952" s="50"/>
      <c r="B952" s="93" t="s">
        <v>37</v>
      </c>
      <c r="C952" s="16"/>
      <c r="D952" s="52"/>
      <c r="E952" s="52"/>
      <c r="F952" s="52"/>
      <c r="G952" s="52"/>
      <c r="H952" s="52"/>
      <c r="I952" s="52"/>
      <c r="J952" s="52"/>
      <c r="K952" s="52"/>
      <c r="L952" s="60" t="str">
        <f>L955</f>
        <v> -</v>
      </c>
      <c r="M952" s="60">
        <f>SUM(M953:M955)</f>
        <v>1</v>
      </c>
      <c r="N952" s="60">
        <f>SUM(N953:N955)</f>
        <v>1</v>
      </c>
      <c r="O952" s="60">
        <f>SUM(O953:O955)</f>
        <v>1</v>
      </c>
      <c r="P952" s="60" t="s">
        <v>556</v>
      </c>
      <c r="Q952" s="23"/>
      <c r="R952" s="23"/>
      <c r="S952" s="17"/>
      <c r="T952" s="47"/>
      <c r="U952" s="47"/>
      <c r="V952" s="47"/>
      <c r="W952" s="47"/>
      <c r="X952" s="47"/>
      <c r="Y952" s="47"/>
      <c r="Z952" s="47"/>
      <c r="AA952" s="47"/>
      <c r="AB952" s="47"/>
      <c r="AC952" s="47"/>
      <c r="AD952" s="47"/>
      <c r="AE952" s="47"/>
      <c r="AF952" s="47"/>
      <c r="AG952" s="47"/>
      <c r="AH952" s="47"/>
      <c r="AI952" s="47"/>
      <c r="AJ952" s="47"/>
      <c r="AK952" s="47"/>
      <c r="AL952" s="47"/>
      <c r="AM952" s="47"/>
      <c r="AN952" s="47"/>
      <c r="AO952" s="47"/>
      <c r="AP952" s="47"/>
      <c r="AQ952" s="47"/>
      <c r="AR952" s="47"/>
      <c r="AS952" s="47"/>
      <c r="AT952" s="47"/>
      <c r="AU952" s="47"/>
      <c r="AV952" s="47"/>
    </row>
    <row r="953" spans="1:48" s="27" customFormat="1" ht="18" customHeight="1">
      <c r="A953" s="12"/>
      <c r="B953" s="109" t="s">
        <v>71</v>
      </c>
      <c r="C953" s="66" t="s">
        <v>41</v>
      </c>
      <c r="D953" s="51"/>
      <c r="E953" s="51"/>
      <c r="F953" s="51"/>
      <c r="G953" s="51">
        <v>1</v>
      </c>
      <c r="H953" s="51">
        <v>1</v>
      </c>
      <c r="I953" s="51">
        <v>1</v>
      </c>
      <c r="J953" s="51"/>
      <c r="K953" s="51">
        <v>1</v>
      </c>
      <c r="L953" s="40" t="s">
        <v>556</v>
      </c>
      <c r="M953" s="40" t="s">
        <v>556</v>
      </c>
      <c r="N953" s="40">
        <v>1</v>
      </c>
      <c r="O953" s="40" t="s">
        <v>556</v>
      </c>
      <c r="P953" s="40" t="s">
        <v>556</v>
      </c>
      <c r="Q953" s="30"/>
      <c r="R953" s="30"/>
      <c r="S953" s="30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</row>
    <row r="954" spans="1:48" s="27" customFormat="1" ht="19.5" customHeight="1">
      <c r="A954" s="12"/>
      <c r="B954" s="97" t="s">
        <v>637</v>
      </c>
      <c r="C954" s="15" t="s">
        <v>638</v>
      </c>
      <c r="D954" s="51"/>
      <c r="E954" s="51"/>
      <c r="F954" s="51"/>
      <c r="G954" s="51">
        <v>2</v>
      </c>
      <c r="H954" s="51">
        <v>2</v>
      </c>
      <c r="I954" s="51">
        <v>2</v>
      </c>
      <c r="J954" s="51"/>
      <c r="K954" s="51">
        <v>2</v>
      </c>
      <c r="L954" s="40" t="s">
        <v>556</v>
      </c>
      <c r="M954" s="40" t="s">
        <v>556</v>
      </c>
      <c r="N954" s="40" t="s">
        <v>556</v>
      </c>
      <c r="O954" s="40">
        <v>1</v>
      </c>
      <c r="P954" s="40" t="s">
        <v>556</v>
      </c>
      <c r="Q954" s="30"/>
      <c r="R954" s="30"/>
      <c r="S954" s="30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</row>
    <row r="955" spans="1:48" s="27" customFormat="1" ht="18.75" customHeight="1">
      <c r="A955" s="12"/>
      <c r="B955" s="97" t="s">
        <v>1045</v>
      </c>
      <c r="C955" s="65" t="s">
        <v>1046</v>
      </c>
      <c r="D955" s="51"/>
      <c r="E955" s="51"/>
      <c r="F955" s="51">
        <v>20</v>
      </c>
      <c r="G955" s="51">
        <v>1</v>
      </c>
      <c r="H955" s="51">
        <v>1</v>
      </c>
      <c r="I955" s="51">
        <v>1</v>
      </c>
      <c r="J955" s="51"/>
      <c r="K955" s="51">
        <v>1</v>
      </c>
      <c r="L955" s="40" t="s">
        <v>556</v>
      </c>
      <c r="M955" s="40">
        <v>1</v>
      </c>
      <c r="N955" s="40" t="s">
        <v>556</v>
      </c>
      <c r="O955" s="40" t="s">
        <v>556</v>
      </c>
      <c r="P955" s="40" t="s">
        <v>556</v>
      </c>
      <c r="Q955" s="30"/>
      <c r="R955" s="30"/>
      <c r="S955" s="30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</row>
    <row r="956" spans="1:188" s="57" customFormat="1" ht="15.75" customHeight="1">
      <c r="A956" s="13">
        <v>34</v>
      </c>
      <c r="B956" s="92" t="s">
        <v>359</v>
      </c>
      <c r="C956" s="45"/>
      <c r="D956" s="44">
        <v>51</v>
      </c>
      <c r="E956" s="44">
        <v>13</v>
      </c>
      <c r="F956" s="44">
        <v>265</v>
      </c>
      <c r="G956" s="44">
        <v>275</v>
      </c>
      <c r="H956" s="44">
        <v>289</v>
      </c>
      <c r="I956" s="44">
        <v>300</v>
      </c>
      <c r="J956" s="44"/>
      <c r="K956" s="44">
        <v>315</v>
      </c>
      <c r="L956" s="44">
        <v>6</v>
      </c>
      <c r="M956" s="44">
        <f>M957</f>
        <v>6</v>
      </c>
      <c r="N956" s="44">
        <f>N957</f>
        <v>4</v>
      </c>
      <c r="O956" s="44">
        <f>O957</f>
        <v>4</v>
      </c>
      <c r="P956" s="44">
        <f>P957</f>
        <v>5</v>
      </c>
      <c r="Q956" s="54" t="s">
        <v>649</v>
      </c>
      <c r="R956" s="54">
        <v>1</v>
      </c>
      <c r="S956" s="59" t="s">
        <v>1309</v>
      </c>
      <c r="T956" s="56"/>
      <c r="U956" s="56"/>
      <c r="V956" s="56"/>
      <c r="W956" s="56"/>
      <c r="X956" s="56"/>
      <c r="Y956" s="56"/>
      <c r="Z956" s="56"/>
      <c r="AA956" s="56"/>
      <c r="AB956" s="56"/>
      <c r="AC956" s="56"/>
      <c r="AD956" s="56"/>
      <c r="AE956" s="56"/>
      <c r="AF956" s="56"/>
      <c r="AG956" s="56"/>
      <c r="AH956" s="56"/>
      <c r="AI956" s="56"/>
      <c r="AJ956" s="56"/>
      <c r="AK956" s="56"/>
      <c r="AL956" s="56"/>
      <c r="AM956" s="56"/>
      <c r="AN956" s="56"/>
      <c r="AO956" s="56"/>
      <c r="AP956" s="56"/>
      <c r="AQ956" s="56"/>
      <c r="AR956" s="56"/>
      <c r="AS956" s="56"/>
      <c r="AT956" s="56"/>
      <c r="AU956" s="56"/>
      <c r="AV956" s="56"/>
      <c r="AW956" s="56"/>
      <c r="AX956" s="56"/>
      <c r="AY956" s="56"/>
      <c r="AZ956" s="56"/>
      <c r="BA956" s="56"/>
      <c r="BB956" s="56"/>
      <c r="BC956" s="56"/>
      <c r="BD956" s="56"/>
      <c r="BE956" s="56"/>
      <c r="BF956" s="56"/>
      <c r="BG956" s="56"/>
      <c r="BH956" s="56"/>
      <c r="BI956" s="56"/>
      <c r="BJ956" s="56"/>
      <c r="BK956" s="56"/>
      <c r="BL956" s="56"/>
      <c r="BM956" s="56"/>
      <c r="BN956" s="56"/>
      <c r="BO956" s="56"/>
      <c r="BP956" s="56"/>
      <c r="BQ956" s="56"/>
      <c r="BR956" s="56"/>
      <c r="BS956" s="56"/>
      <c r="BT956" s="56"/>
      <c r="BU956" s="56"/>
      <c r="BV956" s="56"/>
      <c r="BW956" s="56"/>
      <c r="BX956" s="56"/>
      <c r="BY956" s="56"/>
      <c r="BZ956" s="56"/>
      <c r="CA956" s="56"/>
      <c r="CB956" s="56"/>
      <c r="CC956" s="56"/>
      <c r="CD956" s="56"/>
      <c r="CE956" s="56"/>
      <c r="CF956" s="56"/>
      <c r="CG956" s="56"/>
      <c r="CH956" s="56"/>
      <c r="CI956" s="56"/>
      <c r="CJ956" s="56"/>
      <c r="CK956" s="56"/>
      <c r="CL956" s="56"/>
      <c r="CM956" s="56"/>
      <c r="CN956" s="56"/>
      <c r="CO956" s="56"/>
      <c r="CP956" s="56"/>
      <c r="CQ956" s="56"/>
      <c r="CR956" s="56"/>
      <c r="CS956" s="56"/>
      <c r="CT956" s="56"/>
      <c r="CU956" s="56"/>
      <c r="CV956" s="56"/>
      <c r="CW956" s="56"/>
      <c r="CX956" s="56"/>
      <c r="CY956" s="56"/>
      <c r="CZ956" s="56"/>
      <c r="DA956" s="56"/>
      <c r="DB956" s="56"/>
      <c r="DC956" s="56"/>
      <c r="DD956" s="56"/>
      <c r="DE956" s="56"/>
      <c r="DF956" s="56"/>
      <c r="DG956" s="56"/>
      <c r="DH956" s="56"/>
      <c r="DI956" s="56"/>
      <c r="DJ956" s="56"/>
      <c r="DK956" s="56"/>
      <c r="DL956" s="56"/>
      <c r="DM956" s="56"/>
      <c r="DN956" s="56"/>
      <c r="DO956" s="56"/>
      <c r="DP956" s="56"/>
      <c r="DQ956" s="56"/>
      <c r="DR956" s="56"/>
      <c r="DS956" s="56"/>
      <c r="DT956" s="56"/>
      <c r="DU956" s="56"/>
      <c r="DV956" s="56"/>
      <c r="DW956" s="56"/>
      <c r="DX956" s="56"/>
      <c r="DY956" s="56"/>
      <c r="DZ956" s="56"/>
      <c r="EA956" s="56"/>
      <c r="EB956" s="56"/>
      <c r="EC956" s="56"/>
      <c r="ED956" s="56"/>
      <c r="EE956" s="56"/>
      <c r="EF956" s="56"/>
      <c r="EG956" s="56"/>
      <c r="EH956" s="56"/>
      <c r="EI956" s="56"/>
      <c r="EJ956" s="56"/>
      <c r="EK956" s="56"/>
      <c r="EL956" s="56"/>
      <c r="EM956" s="56"/>
      <c r="EN956" s="56"/>
      <c r="EO956" s="56"/>
      <c r="EP956" s="56"/>
      <c r="EQ956" s="56"/>
      <c r="ER956" s="56"/>
      <c r="ES956" s="56"/>
      <c r="ET956" s="56"/>
      <c r="EU956" s="56"/>
      <c r="EV956" s="56"/>
      <c r="EW956" s="56"/>
      <c r="EX956" s="56"/>
      <c r="EY956" s="56"/>
      <c r="EZ956" s="56"/>
      <c r="FA956" s="56"/>
      <c r="FB956" s="56"/>
      <c r="FC956" s="56"/>
      <c r="FD956" s="56"/>
      <c r="FE956" s="56"/>
      <c r="FF956" s="56"/>
      <c r="FG956" s="56"/>
      <c r="FH956" s="56"/>
      <c r="FI956" s="56"/>
      <c r="FJ956" s="56"/>
      <c r="FK956" s="56"/>
      <c r="FL956" s="56"/>
      <c r="FM956" s="56"/>
      <c r="FN956" s="56"/>
      <c r="FO956" s="56"/>
      <c r="FP956" s="56"/>
      <c r="FQ956" s="56"/>
      <c r="FR956" s="56"/>
      <c r="FS956" s="56"/>
      <c r="FT956" s="56"/>
      <c r="FU956" s="56"/>
      <c r="FV956" s="56"/>
      <c r="FW956" s="56"/>
      <c r="FX956" s="56"/>
      <c r="FY956" s="56"/>
      <c r="FZ956" s="56"/>
      <c r="GA956" s="56"/>
      <c r="GB956" s="56"/>
      <c r="GC956" s="56"/>
      <c r="GD956" s="56"/>
      <c r="GE956" s="56"/>
      <c r="GF956" s="56"/>
    </row>
    <row r="957" spans="1:57" s="43" customFormat="1" ht="15.75">
      <c r="A957" s="13"/>
      <c r="B957" s="104" t="s">
        <v>669</v>
      </c>
      <c r="C957" s="15"/>
      <c r="D957" s="40"/>
      <c r="E957" s="40"/>
      <c r="F957" s="40"/>
      <c r="G957" s="40"/>
      <c r="H957" s="40"/>
      <c r="I957" s="40"/>
      <c r="J957" s="40"/>
      <c r="K957" s="40"/>
      <c r="L957" s="60">
        <f>SUM(L958:L958)</f>
        <v>5</v>
      </c>
      <c r="M957" s="60">
        <f>SUM(M958:M958)</f>
        <v>6</v>
      </c>
      <c r="N957" s="60">
        <f>SUM(N958:N958)</f>
        <v>4</v>
      </c>
      <c r="O957" s="60">
        <f>SUM(O958:O958)</f>
        <v>4</v>
      </c>
      <c r="P957" s="60">
        <f>SUM(P958:P958)</f>
        <v>5</v>
      </c>
      <c r="Q957" s="70"/>
      <c r="R957" s="41"/>
      <c r="S957" s="41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  <c r="AK957" s="46"/>
      <c r="AL957" s="46"/>
      <c r="AM957" s="46"/>
      <c r="AN957" s="46"/>
      <c r="AO957" s="46"/>
      <c r="AP957" s="46"/>
      <c r="AQ957" s="46"/>
      <c r="AR957" s="46"/>
      <c r="AS957" s="46"/>
      <c r="AT957" s="46"/>
      <c r="AU957" s="46"/>
      <c r="AV957" s="46"/>
      <c r="BA957" s="49"/>
      <c r="BB957" s="42"/>
      <c r="BC957" s="42"/>
      <c r="BD957" s="42"/>
      <c r="BE957" s="42"/>
    </row>
    <row r="958" spans="1:57" s="43" customFormat="1" ht="17.25" customHeight="1">
      <c r="A958" s="13"/>
      <c r="B958" s="105" t="s">
        <v>1030</v>
      </c>
      <c r="C958" s="15" t="s">
        <v>1031</v>
      </c>
      <c r="D958" s="44"/>
      <c r="E958" s="44"/>
      <c r="F958" s="44"/>
      <c r="G958" s="44"/>
      <c r="H958" s="44"/>
      <c r="I958" s="40"/>
      <c r="J958" s="40"/>
      <c r="K958" s="40"/>
      <c r="L958" s="40">
        <v>5</v>
      </c>
      <c r="M958" s="40">
        <v>6</v>
      </c>
      <c r="N958" s="40">
        <v>4</v>
      </c>
      <c r="O958" s="40">
        <v>4</v>
      </c>
      <c r="P958" s="40">
        <v>5</v>
      </c>
      <c r="Q958" s="70"/>
      <c r="R958" s="41"/>
      <c r="S958" s="41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  <c r="AK958" s="46"/>
      <c r="AL958" s="46"/>
      <c r="AM958" s="46"/>
      <c r="AN958" s="46"/>
      <c r="AO958" s="46"/>
      <c r="AP958" s="46"/>
      <c r="AQ958" s="46"/>
      <c r="AR958" s="46"/>
      <c r="AS958" s="46"/>
      <c r="AT958" s="46"/>
      <c r="AU958" s="46"/>
      <c r="AV958" s="46"/>
      <c r="BA958" s="49"/>
      <c r="BB958" s="42"/>
      <c r="BC958" s="42"/>
      <c r="BD958" s="42"/>
      <c r="BE958" s="42"/>
    </row>
    <row r="959" spans="1:57" s="43" customFormat="1" ht="17.25" customHeight="1">
      <c r="A959" s="13"/>
      <c r="B959" s="104" t="s">
        <v>670</v>
      </c>
      <c r="C959" s="15"/>
      <c r="D959" s="40"/>
      <c r="E959" s="40"/>
      <c r="F959" s="40"/>
      <c r="G959" s="40"/>
      <c r="H959" s="40"/>
      <c r="I959" s="40"/>
      <c r="J959" s="40"/>
      <c r="K959" s="40"/>
      <c r="L959" s="60">
        <f>L960</f>
        <v>1</v>
      </c>
      <c r="M959" s="60" t="str">
        <f>M960</f>
        <v> -</v>
      </c>
      <c r="N959" s="60" t="str">
        <f>N960</f>
        <v> -</v>
      </c>
      <c r="O959" s="60" t="str">
        <f>O960</f>
        <v> -</v>
      </c>
      <c r="P959" s="60" t="str">
        <f>P960</f>
        <v> -</v>
      </c>
      <c r="Q959" s="70"/>
      <c r="R959" s="41"/>
      <c r="S959" s="41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  <c r="AK959" s="46"/>
      <c r="AL959" s="46"/>
      <c r="AM959" s="46"/>
      <c r="AN959" s="46"/>
      <c r="AO959" s="46"/>
      <c r="AP959" s="46"/>
      <c r="AQ959" s="46"/>
      <c r="AR959" s="46"/>
      <c r="AS959" s="46"/>
      <c r="AT959" s="46"/>
      <c r="AU959" s="46"/>
      <c r="AV959" s="46"/>
      <c r="BA959" s="49"/>
      <c r="BB959" s="42"/>
      <c r="BC959" s="42"/>
      <c r="BD959" s="42"/>
      <c r="BE959" s="42"/>
    </row>
    <row r="960" spans="1:57" s="43" customFormat="1" ht="17.25" customHeight="1">
      <c r="A960" s="13"/>
      <c r="B960" s="97" t="s">
        <v>1281</v>
      </c>
      <c r="C960" s="15" t="s">
        <v>1282</v>
      </c>
      <c r="D960" s="40"/>
      <c r="E960" s="40"/>
      <c r="F960" s="40"/>
      <c r="G960" s="40"/>
      <c r="H960" s="40"/>
      <c r="I960" s="40"/>
      <c r="J960" s="40"/>
      <c r="K960" s="40"/>
      <c r="L960" s="40">
        <v>1</v>
      </c>
      <c r="M960" s="40" t="s">
        <v>556</v>
      </c>
      <c r="N960" s="40" t="s">
        <v>556</v>
      </c>
      <c r="O960" s="40" t="s">
        <v>556</v>
      </c>
      <c r="P960" s="40" t="s">
        <v>556</v>
      </c>
      <c r="Q960" s="70"/>
      <c r="R960" s="41"/>
      <c r="S960" s="41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  <c r="AK960" s="46"/>
      <c r="AL960" s="46"/>
      <c r="AM960" s="46"/>
      <c r="AN960" s="46"/>
      <c r="AO960" s="46"/>
      <c r="AP960" s="46"/>
      <c r="AQ960" s="46"/>
      <c r="AR960" s="46"/>
      <c r="AS960" s="46"/>
      <c r="AT960" s="46"/>
      <c r="AU960" s="46"/>
      <c r="AV960" s="46"/>
      <c r="BA960" s="49"/>
      <c r="BB960" s="42"/>
      <c r="BC960" s="42"/>
      <c r="BD960" s="42"/>
      <c r="BE960" s="42"/>
    </row>
    <row r="961" spans="1:188" s="57" customFormat="1" ht="16.5" customHeight="1">
      <c r="A961" s="13">
        <v>35</v>
      </c>
      <c r="B961" s="92" t="s">
        <v>358</v>
      </c>
      <c r="C961" s="45"/>
      <c r="D961" s="44">
        <v>49</v>
      </c>
      <c r="E961" s="44">
        <v>5</v>
      </c>
      <c r="F961" s="44">
        <v>265</v>
      </c>
      <c r="G961" s="44">
        <v>275</v>
      </c>
      <c r="H961" s="44">
        <v>289</v>
      </c>
      <c r="I961" s="44">
        <v>300</v>
      </c>
      <c r="J961" s="44"/>
      <c r="K961" s="44">
        <v>315</v>
      </c>
      <c r="L961" s="44">
        <v>5</v>
      </c>
      <c r="M961" s="44">
        <f>M962</f>
        <v>3</v>
      </c>
      <c r="N961" s="44"/>
      <c r="O961" s="44">
        <f>O962</f>
        <v>4</v>
      </c>
      <c r="P961" s="44">
        <f>P962</f>
        <v>4</v>
      </c>
      <c r="Q961" s="54" t="s">
        <v>649</v>
      </c>
      <c r="R961" s="54">
        <v>1</v>
      </c>
      <c r="S961" s="59" t="s">
        <v>1309</v>
      </c>
      <c r="T961" s="56"/>
      <c r="U961" s="56"/>
      <c r="V961" s="56"/>
      <c r="W961" s="56"/>
      <c r="X961" s="56"/>
      <c r="Y961" s="56"/>
      <c r="Z961" s="56"/>
      <c r="AA961" s="56"/>
      <c r="AB961" s="56"/>
      <c r="AC961" s="56"/>
      <c r="AD961" s="56"/>
      <c r="AE961" s="56"/>
      <c r="AF961" s="56"/>
      <c r="AG961" s="56"/>
      <c r="AH961" s="56"/>
      <c r="AI961" s="56"/>
      <c r="AJ961" s="56"/>
      <c r="AK961" s="56"/>
      <c r="AL961" s="56"/>
      <c r="AM961" s="56"/>
      <c r="AN961" s="56"/>
      <c r="AO961" s="56"/>
      <c r="AP961" s="56"/>
      <c r="AQ961" s="56"/>
      <c r="AR961" s="56"/>
      <c r="AS961" s="56"/>
      <c r="AT961" s="56"/>
      <c r="AU961" s="56"/>
      <c r="AV961" s="56"/>
      <c r="AW961" s="56"/>
      <c r="AX961" s="56"/>
      <c r="AY961" s="56"/>
      <c r="AZ961" s="56"/>
      <c r="BA961" s="56"/>
      <c r="BB961" s="56"/>
      <c r="BC961" s="56"/>
      <c r="BD961" s="56"/>
      <c r="BE961" s="56"/>
      <c r="BF961" s="56"/>
      <c r="BG961" s="56"/>
      <c r="BH961" s="56"/>
      <c r="BI961" s="56"/>
      <c r="BJ961" s="56"/>
      <c r="BK961" s="56"/>
      <c r="BL961" s="56"/>
      <c r="BM961" s="56"/>
      <c r="BN961" s="56"/>
      <c r="BO961" s="56"/>
      <c r="BP961" s="56"/>
      <c r="BQ961" s="56"/>
      <c r="BR961" s="56"/>
      <c r="BS961" s="56"/>
      <c r="BT961" s="56"/>
      <c r="BU961" s="56"/>
      <c r="BV961" s="56"/>
      <c r="BW961" s="56"/>
      <c r="BX961" s="56"/>
      <c r="BY961" s="56"/>
      <c r="BZ961" s="56"/>
      <c r="CA961" s="56"/>
      <c r="CB961" s="56"/>
      <c r="CC961" s="56"/>
      <c r="CD961" s="56"/>
      <c r="CE961" s="56"/>
      <c r="CF961" s="56"/>
      <c r="CG961" s="56"/>
      <c r="CH961" s="56"/>
      <c r="CI961" s="56"/>
      <c r="CJ961" s="56"/>
      <c r="CK961" s="56"/>
      <c r="CL961" s="56"/>
      <c r="CM961" s="56"/>
      <c r="CN961" s="56"/>
      <c r="CO961" s="56"/>
      <c r="CP961" s="56"/>
      <c r="CQ961" s="56"/>
      <c r="CR961" s="56"/>
      <c r="CS961" s="56"/>
      <c r="CT961" s="56"/>
      <c r="CU961" s="56"/>
      <c r="CV961" s="56"/>
      <c r="CW961" s="56"/>
      <c r="CX961" s="56"/>
      <c r="CY961" s="56"/>
      <c r="CZ961" s="56"/>
      <c r="DA961" s="56"/>
      <c r="DB961" s="56"/>
      <c r="DC961" s="56"/>
      <c r="DD961" s="56"/>
      <c r="DE961" s="56"/>
      <c r="DF961" s="56"/>
      <c r="DG961" s="56"/>
      <c r="DH961" s="56"/>
      <c r="DI961" s="56"/>
      <c r="DJ961" s="56"/>
      <c r="DK961" s="56"/>
      <c r="DL961" s="56"/>
      <c r="DM961" s="56"/>
      <c r="DN961" s="56"/>
      <c r="DO961" s="56"/>
      <c r="DP961" s="56"/>
      <c r="DQ961" s="56"/>
      <c r="DR961" s="56"/>
      <c r="DS961" s="56"/>
      <c r="DT961" s="56"/>
      <c r="DU961" s="56"/>
      <c r="DV961" s="56"/>
      <c r="DW961" s="56"/>
      <c r="DX961" s="56"/>
      <c r="DY961" s="56"/>
      <c r="DZ961" s="56"/>
      <c r="EA961" s="56"/>
      <c r="EB961" s="56"/>
      <c r="EC961" s="56"/>
      <c r="ED961" s="56"/>
      <c r="EE961" s="56"/>
      <c r="EF961" s="56"/>
      <c r="EG961" s="56"/>
      <c r="EH961" s="56"/>
      <c r="EI961" s="56"/>
      <c r="EJ961" s="56"/>
      <c r="EK961" s="56"/>
      <c r="EL961" s="56"/>
      <c r="EM961" s="56"/>
      <c r="EN961" s="56"/>
      <c r="EO961" s="56"/>
      <c r="EP961" s="56"/>
      <c r="EQ961" s="56"/>
      <c r="ER961" s="56"/>
      <c r="ES961" s="56"/>
      <c r="ET961" s="56"/>
      <c r="EU961" s="56"/>
      <c r="EV961" s="56"/>
      <c r="EW961" s="56"/>
      <c r="EX961" s="56"/>
      <c r="EY961" s="56"/>
      <c r="EZ961" s="56"/>
      <c r="FA961" s="56"/>
      <c r="FB961" s="56"/>
      <c r="FC961" s="56"/>
      <c r="FD961" s="56"/>
      <c r="FE961" s="56"/>
      <c r="FF961" s="56"/>
      <c r="FG961" s="56"/>
      <c r="FH961" s="56"/>
      <c r="FI961" s="56"/>
      <c r="FJ961" s="56"/>
      <c r="FK961" s="56"/>
      <c r="FL961" s="56"/>
      <c r="FM961" s="56"/>
      <c r="FN961" s="56"/>
      <c r="FO961" s="56"/>
      <c r="FP961" s="56"/>
      <c r="FQ961" s="56"/>
      <c r="FR961" s="56"/>
      <c r="FS961" s="56"/>
      <c r="FT961" s="56"/>
      <c r="FU961" s="56"/>
      <c r="FV961" s="56"/>
      <c r="FW961" s="56"/>
      <c r="FX961" s="56"/>
      <c r="FY961" s="56"/>
      <c r="FZ961" s="56"/>
      <c r="GA961" s="56"/>
      <c r="GB961" s="56"/>
      <c r="GC961" s="56"/>
      <c r="GD961" s="56"/>
      <c r="GE961" s="56"/>
      <c r="GF961" s="56"/>
    </row>
    <row r="962" spans="1:57" s="43" customFormat="1" ht="15.75">
      <c r="A962" s="13"/>
      <c r="B962" s="104" t="s">
        <v>669</v>
      </c>
      <c r="C962" s="15"/>
      <c r="D962" s="40"/>
      <c r="E962" s="40"/>
      <c r="F962" s="40"/>
      <c r="G962" s="40"/>
      <c r="H962" s="40"/>
      <c r="I962" s="40"/>
      <c r="J962" s="40"/>
      <c r="K962" s="40"/>
      <c r="L962" s="60">
        <f>SUM(L963:L964)</f>
        <v>4</v>
      </c>
      <c r="M962" s="60">
        <f>SUM(M963:M964)</f>
        <v>3</v>
      </c>
      <c r="N962" s="60">
        <f>SUM(N963:N964)</f>
        <v>2</v>
      </c>
      <c r="O962" s="60">
        <f>SUM(O963:O964)</f>
        <v>4</v>
      </c>
      <c r="P962" s="60">
        <f>SUM(P963:P964)</f>
        <v>4</v>
      </c>
      <c r="Q962" s="70"/>
      <c r="R962" s="41"/>
      <c r="S962" s="41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  <c r="AO962" s="46"/>
      <c r="AP962" s="46"/>
      <c r="AQ962" s="46"/>
      <c r="AR962" s="46"/>
      <c r="AS962" s="46"/>
      <c r="AT962" s="46"/>
      <c r="AU962" s="46"/>
      <c r="AV962" s="46"/>
      <c r="BA962" s="49"/>
      <c r="BB962" s="42"/>
      <c r="BC962" s="42"/>
      <c r="BD962" s="42"/>
      <c r="BE962" s="42"/>
    </row>
    <row r="963" spans="1:57" s="43" customFormat="1" ht="17.25" customHeight="1">
      <c r="A963" s="13"/>
      <c r="B963" s="105" t="s">
        <v>1030</v>
      </c>
      <c r="C963" s="15" t="s">
        <v>1031</v>
      </c>
      <c r="D963" s="44"/>
      <c r="E963" s="44"/>
      <c r="F963" s="44"/>
      <c r="G963" s="44"/>
      <c r="H963" s="44"/>
      <c r="I963" s="40"/>
      <c r="J963" s="40"/>
      <c r="K963" s="40"/>
      <c r="L963" s="40">
        <v>4</v>
      </c>
      <c r="M963" s="40">
        <v>3</v>
      </c>
      <c r="N963" s="40">
        <v>2</v>
      </c>
      <c r="O963" s="40">
        <v>3</v>
      </c>
      <c r="P963" s="40">
        <v>3</v>
      </c>
      <c r="Q963" s="70"/>
      <c r="R963" s="41"/>
      <c r="S963" s="41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  <c r="AK963" s="46"/>
      <c r="AL963" s="46"/>
      <c r="AM963" s="46"/>
      <c r="AN963" s="46"/>
      <c r="AO963" s="46"/>
      <c r="AP963" s="46"/>
      <c r="AQ963" s="46"/>
      <c r="AR963" s="46"/>
      <c r="AS963" s="46"/>
      <c r="AT963" s="46"/>
      <c r="AU963" s="46"/>
      <c r="AV963" s="46"/>
      <c r="BA963" s="49"/>
      <c r="BB963" s="42"/>
      <c r="BC963" s="42"/>
      <c r="BD963" s="42"/>
      <c r="BE963" s="42"/>
    </row>
    <row r="964" spans="1:57" s="43" customFormat="1" ht="17.25" customHeight="1">
      <c r="A964" s="13"/>
      <c r="B964" s="105" t="s">
        <v>36</v>
      </c>
      <c r="C964" s="15" t="s">
        <v>35</v>
      </c>
      <c r="D964" s="44"/>
      <c r="E964" s="44"/>
      <c r="F964" s="44"/>
      <c r="G964" s="44"/>
      <c r="H964" s="44"/>
      <c r="I964" s="40"/>
      <c r="J964" s="40"/>
      <c r="K964" s="40"/>
      <c r="L964" s="40" t="s">
        <v>556</v>
      </c>
      <c r="M964" s="40" t="s">
        <v>556</v>
      </c>
      <c r="N964" s="40" t="s">
        <v>556</v>
      </c>
      <c r="O964" s="40">
        <v>1</v>
      </c>
      <c r="P964" s="40">
        <v>1</v>
      </c>
      <c r="Q964" s="70"/>
      <c r="R964" s="41"/>
      <c r="S964" s="41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  <c r="AL964" s="46"/>
      <c r="AM964" s="46"/>
      <c r="AN964" s="46"/>
      <c r="AO964" s="46"/>
      <c r="AP964" s="46"/>
      <c r="AQ964" s="46"/>
      <c r="AR964" s="46"/>
      <c r="AS964" s="46"/>
      <c r="AT964" s="46"/>
      <c r="AU964" s="46"/>
      <c r="AV964" s="46"/>
      <c r="BA964" s="49"/>
      <c r="BB964" s="42"/>
      <c r="BC964" s="42"/>
      <c r="BD964" s="42"/>
      <c r="BE964" s="42"/>
    </row>
    <row r="965" spans="1:57" s="43" customFormat="1" ht="17.25" customHeight="1">
      <c r="A965" s="13"/>
      <c r="B965" s="104" t="s">
        <v>670</v>
      </c>
      <c r="C965" s="15"/>
      <c r="D965" s="40"/>
      <c r="E965" s="40"/>
      <c r="F965" s="40"/>
      <c r="G965" s="40"/>
      <c r="H965" s="40"/>
      <c r="I965" s="40"/>
      <c r="J965" s="40"/>
      <c r="K965" s="40"/>
      <c r="L965" s="60">
        <f>L966</f>
        <v>1</v>
      </c>
      <c r="M965" s="60" t="str">
        <f>M966</f>
        <v> -</v>
      </c>
      <c r="N965" s="60" t="str">
        <f>N966</f>
        <v> -</v>
      </c>
      <c r="O965" s="60" t="str">
        <f>O966</f>
        <v> -</v>
      </c>
      <c r="P965" s="60" t="str">
        <f>P966</f>
        <v> -</v>
      </c>
      <c r="Q965" s="70"/>
      <c r="R965" s="41"/>
      <c r="S965" s="41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  <c r="AK965" s="46"/>
      <c r="AL965" s="46"/>
      <c r="AM965" s="46"/>
      <c r="AN965" s="46"/>
      <c r="AO965" s="46"/>
      <c r="AP965" s="46"/>
      <c r="AQ965" s="46"/>
      <c r="AR965" s="46"/>
      <c r="AS965" s="46"/>
      <c r="AT965" s="46"/>
      <c r="AU965" s="46"/>
      <c r="AV965" s="46"/>
      <c r="BA965" s="49"/>
      <c r="BB965" s="42"/>
      <c r="BC965" s="42"/>
      <c r="BD965" s="42"/>
      <c r="BE965" s="42"/>
    </row>
    <row r="966" spans="1:57" s="43" customFormat="1" ht="17.25" customHeight="1">
      <c r="A966" s="13"/>
      <c r="B966" s="97" t="s">
        <v>1281</v>
      </c>
      <c r="C966" s="15" t="s">
        <v>1282</v>
      </c>
      <c r="D966" s="40"/>
      <c r="E966" s="40"/>
      <c r="F966" s="40"/>
      <c r="G966" s="40"/>
      <c r="H966" s="40"/>
      <c r="I966" s="40"/>
      <c r="J966" s="40"/>
      <c r="K966" s="40"/>
      <c r="L966" s="40">
        <v>1</v>
      </c>
      <c r="M966" s="40" t="s">
        <v>556</v>
      </c>
      <c r="N966" s="40" t="s">
        <v>556</v>
      </c>
      <c r="O966" s="40" t="s">
        <v>556</v>
      </c>
      <c r="P966" s="40" t="s">
        <v>556</v>
      </c>
      <c r="Q966" s="70"/>
      <c r="R966" s="41"/>
      <c r="S966" s="41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  <c r="AK966" s="46"/>
      <c r="AL966" s="46"/>
      <c r="AM966" s="46"/>
      <c r="AN966" s="46"/>
      <c r="AO966" s="46"/>
      <c r="AP966" s="46"/>
      <c r="AQ966" s="46"/>
      <c r="AR966" s="46"/>
      <c r="AS966" s="46"/>
      <c r="AT966" s="46"/>
      <c r="AU966" s="46"/>
      <c r="AV966" s="46"/>
      <c r="BA966" s="49"/>
      <c r="BB966" s="42"/>
      <c r="BC966" s="42"/>
      <c r="BD966" s="42"/>
      <c r="BE966" s="42"/>
    </row>
    <row r="967" spans="1:188" s="57" customFormat="1" ht="19.5" customHeight="1">
      <c r="A967" s="13">
        <v>36</v>
      </c>
      <c r="B967" s="92" t="s">
        <v>335</v>
      </c>
      <c r="C967" s="45"/>
      <c r="D967" s="44">
        <v>53</v>
      </c>
      <c r="E967" s="44">
        <v>6</v>
      </c>
      <c r="F967" s="44">
        <v>265</v>
      </c>
      <c r="G967" s="44">
        <v>275</v>
      </c>
      <c r="H967" s="44">
        <v>289</v>
      </c>
      <c r="I967" s="44">
        <v>300</v>
      </c>
      <c r="J967" s="44"/>
      <c r="K967" s="44">
        <v>315</v>
      </c>
      <c r="L967" s="44">
        <f>L968</f>
        <v>5</v>
      </c>
      <c r="M967" s="44">
        <f>M968</f>
        <v>2</v>
      </c>
      <c r="N967" s="44">
        <f>N968</f>
        <v>3</v>
      </c>
      <c r="O967" s="44">
        <f>O968</f>
        <v>4</v>
      </c>
      <c r="P967" s="44">
        <f>P968</f>
        <v>4</v>
      </c>
      <c r="Q967" s="54" t="s">
        <v>649</v>
      </c>
      <c r="R967" s="54">
        <v>1</v>
      </c>
      <c r="S967" s="59" t="s">
        <v>1309</v>
      </c>
      <c r="T967" s="56"/>
      <c r="U967" s="56"/>
      <c r="V967" s="56"/>
      <c r="W967" s="56"/>
      <c r="X967" s="56"/>
      <c r="Y967" s="56"/>
      <c r="Z967" s="56"/>
      <c r="AA967" s="56"/>
      <c r="AB967" s="56"/>
      <c r="AC967" s="56"/>
      <c r="AD967" s="56"/>
      <c r="AE967" s="56"/>
      <c r="AF967" s="56"/>
      <c r="AG967" s="56"/>
      <c r="AH967" s="56"/>
      <c r="AI967" s="56"/>
      <c r="AJ967" s="56"/>
      <c r="AK967" s="56"/>
      <c r="AL967" s="56"/>
      <c r="AM967" s="56"/>
      <c r="AN967" s="56"/>
      <c r="AO967" s="56"/>
      <c r="AP967" s="56"/>
      <c r="AQ967" s="56"/>
      <c r="AR967" s="56"/>
      <c r="AS967" s="56"/>
      <c r="AT967" s="56"/>
      <c r="AU967" s="56"/>
      <c r="AV967" s="56"/>
      <c r="AW967" s="56"/>
      <c r="AX967" s="56"/>
      <c r="AY967" s="56"/>
      <c r="AZ967" s="56"/>
      <c r="BA967" s="56"/>
      <c r="BB967" s="56"/>
      <c r="BC967" s="56"/>
      <c r="BD967" s="56"/>
      <c r="BE967" s="56"/>
      <c r="BF967" s="56"/>
      <c r="BG967" s="56"/>
      <c r="BH967" s="56"/>
      <c r="BI967" s="56"/>
      <c r="BJ967" s="56"/>
      <c r="BK967" s="56"/>
      <c r="BL967" s="56"/>
      <c r="BM967" s="56"/>
      <c r="BN967" s="56"/>
      <c r="BO967" s="56"/>
      <c r="BP967" s="56"/>
      <c r="BQ967" s="56"/>
      <c r="BR967" s="56"/>
      <c r="BS967" s="56"/>
      <c r="BT967" s="56"/>
      <c r="BU967" s="56"/>
      <c r="BV967" s="56"/>
      <c r="BW967" s="56"/>
      <c r="BX967" s="56"/>
      <c r="BY967" s="56"/>
      <c r="BZ967" s="56"/>
      <c r="CA967" s="56"/>
      <c r="CB967" s="56"/>
      <c r="CC967" s="56"/>
      <c r="CD967" s="56"/>
      <c r="CE967" s="56"/>
      <c r="CF967" s="56"/>
      <c r="CG967" s="56"/>
      <c r="CH967" s="56"/>
      <c r="CI967" s="56"/>
      <c r="CJ967" s="56"/>
      <c r="CK967" s="56"/>
      <c r="CL967" s="56"/>
      <c r="CM967" s="56"/>
      <c r="CN967" s="56"/>
      <c r="CO967" s="56"/>
      <c r="CP967" s="56"/>
      <c r="CQ967" s="56"/>
      <c r="CR967" s="56"/>
      <c r="CS967" s="56"/>
      <c r="CT967" s="56"/>
      <c r="CU967" s="56"/>
      <c r="CV967" s="56"/>
      <c r="CW967" s="56"/>
      <c r="CX967" s="56"/>
      <c r="CY967" s="56"/>
      <c r="CZ967" s="56"/>
      <c r="DA967" s="56"/>
      <c r="DB967" s="56"/>
      <c r="DC967" s="56"/>
      <c r="DD967" s="56"/>
      <c r="DE967" s="56"/>
      <c r="DF967" s="56"/>
      <c r="DG967" s="56"/>
      <c r="DH967" s="56"/>
      <c r="DI967" s="56"/>
      <c r="DJ967" s="56"/>
      <c r="DK967" s="56"/>
      <c r="DL967" s="56"/>
      <c r="DM967" s="56"/>
      <c r="DN967" s="56"/>
      <c r="DO967" s="56"/>
      <c r="DP967" s="56"/>
      <c r="DQ967" s="56"/>
      <c r="DR967" s="56"/>
      <c r="DS967" s="56"/>
      <c r="DT967" s="56"/>
      <c r="DU967" s="56"/>
      <c r="DV967" s="56"/>
      <c r="DW967" s="56"/>
      <c r="DX967" s="56"/>
      <c r="DY967" s="56"/>
      <c r="DZ967" s="56"/>
      <c r="EA967" s="56"/>
      <c r="EB967" s="56"/>
      <c r="EC967" s="56"/>
      <c r="ED967" s="56"/>
      <c r="EE967" s="56"/>
      <c r="EF967" s="56"/>
      <c r="EG967" s="56"/>
      <c r="EH967" s="56"/>
      <c r="EI967" s="56"/>
      <c r="EJ967" s="56"/>
      <c r="EK967" s="56"/>
      <c r="EL967" s="56"/>
      <c r="EM967" s="56"/>
      <c r="EN967" s="56"/>
      <c r="EO967" s="56"/>
      <c r="EP967" s="56"/>
      <c r="EQ967" s="56"/>
      <c r="ER967" s="56"/>
      <c r="ES967" s="56"/>
      <c r="ET967" s="56"/>
      <c r="EU967" s="56"/>
      <c r="EV967" s="56"/>
      <c r="EW967" s="56"/>
      <c r="EX967" s="56"/>
      <c r="EY967" s="56"/>
      <c r="EZ967" s="56"/>
      <c r="FA967" s="56"/>
      <c r="FB967" s="56"/>
      <c r="FC967" s="56"/>
      <c r="FD967" s="56"/>
      <c r="FE967" s="56"/>
      <c r="FF967" s="56"/>
      <c r="FG967" s="56"/>
      <c r="FH967" s="56"/>
      <c r="FI967" s="56"/>
      <c r="FJ967" s="56"/>
      <c r="FK967" s="56"/>
      <c r="FL967" s="56"/>
      <c r="FM967" s="56"/>
      <c r="FN967" s="56"/>
      <c r="FO967" s="56"/>
      <c r="FP967" s="56"/>
      <c r="FQ967" s="56"/>
      <c r="FR967" s="56"/>
      <c r="FS967" s="56"/>
      <c r="FT967" s="56"/>
      <c r="FU967" s="56"/>
      <c r="FV967" s="56"/>
      <c r="FW967" s="56"/>
      <c r="FX967" s="56"/>
      <c r="FY967" s="56"/>
      <c r="FZ967" s="56"/>
      <c r="GA967" s="56"/>
      <c r="GB967" s="56"/>
      <c r="GC967" s="56"/>
      <c r="GD967" s="56"/>
      <c r="GE967" s="56"/>
      <c r="GF967" s="56"/>
    </row>
    <row r="968" spans="1:57" s="43" customFormat="1" ht="15.75">
      <c r="A968" s="13"/>
      <c r="B968" s="104" t="s">
        <v>669</v>
      </c>
      <c r="C968" s="15"/>
      <c r="D968" s="40"/>
      <c r="E968" s="40"/>
      <c r="F968" s="40"/>
      <c r="G968" s="40"/>
      <c r="H968" s="40"/>
      <c r="I968" s="40"/>
      <c r="J968" s="40"/>
      <c r="K968" s="40"/>
      <c r="L968" s="60">
        <f>SUM(L969:L970)</f>
        <v>5</v>
      </c>
      <c r="M968" s="60">
        <f>SUM(M969:M970)</f>
        <v>2</v>
      </c>
      <c r="N968" s="60">
        <f>SUM(N969:N970)</f>
        <v>3</v>
      </c>
      <c r="O968" s="60">
        <f>SUM(O969:O970)</f>
        <v>4</v>
      </c>
      <c r="P968" s="60">
        <f>SUM(P969:P970)</f>
        <v>4</v>
      </c>
      <c r="Q968" s="70"/>
      <c r="R968" s="41"/>
      <c r="S968" s="41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  <c r="AT968" s="46"/>
      <c r="AU968" s="46"/>
      <c r="AV968" s="46"/>
      <c r="BA968" s="49"/>
      <c r="BB968" s="42"/>
      <c r="BC968" s="42"/>
      <c r="BD968" s="42"/>
      <c r="BE968" s="42"/>
    </row>
    <row r="969" spans="1:57" s="43" customFormat="1" ht="17.25" customHeight="1">
      <c r="A969" s="13"/>
      <c r="B969" s="105" t="s">
        <v>1030</v>
      </c>
      <c r="C969" s="15" t="s">
        <v>1031</v>
      </c>
      <c r="D969" s="44"/>
      <c r="E969" s="44"/>
      <c r="F969" s="44"/>
      <c r="G969" s="44"/>
      <c r="H969" s="44"/>
      <c r="I969" s="40"/>
      <c r="J969" s="40"/>
      <c r="K969" s="40"/>
      <c r="L969" s="40">
        <v>5</v>
      </c>
      <c r="M969" s="40">
        <v>2</v>
      </c>
      <c r="N969" s="40">
        <v>3</v>
      </c>
      <c r="O969" s="40">
        <v>3</v>
      </c>
      <c r="P969" s="40">
        <v>3</v>
      </c>
      <c r="Q969" s="70"/>
      <c r="R969" s="41"/>
      <c r="S969" s="41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  <c r="AL969" s="46"/>
      <c r="AM969" s="46"/>
      <c r="AN969" s="46"/>
      <c r="AO969" s="46"/>
      <c r="AP969" s="46"/>
      <c r="AQ969" s="46"/>
      <c r="AR969" s="46"/>
      <c r="AS969" s="46"/>
      <c r="AT969" s="46"/>
      <c r="AU969" s="46"/>
      <c r="AV969" s="46"/>
      <c r="BA969" s="49"/>
      <c r="BB969" s="42"/>
      <c r="BC969" s="42"/>
      <c r="BD969" s="42"/>
      <c r="BE969" s="42"/>
    </row>
    <row r="970" spans="1:57" s="43" customFormat="1" ht="17.25" customHeight="1">
      <c r="A970" s="13"/>
      <c r="B970" s="105" t="s">
        <v>36</v>
      </c>
      <c r="C970" s="15" t="s">
        <v>35</v>
      </c>
      <c r="D970" s="44"/>
      <c r="E970" s="44"/>
      <c r="F970" s="44"/>
      <c r="G970" s="44"/>
      <c r="H970" s="44"/>
      <c r="I970" s="40"/>
      <c r="J970" s="40"/>
      <c r="K970" s="40"/>
      <c r="L970" s="40" t="s">
        <v>556</v>
      </c>
      <c r="M970" s="40" t="s">
        <v>556</v>
      </c>
      <c r="N970" s="40" t="s">
        <v>556</v>
      </c>
      <c r="O970" s="40">
        <v>1</v>
      </c>
      <c r="P970" s="40">
        <v>1</v>
      </c>
      <c r="Q970" s="70"/>
      <c r="R970" s="41"/>
      <c r="S970" s="41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  <c r="AT970" s="46"/>
      <c r="AU970" s="46"/>
      <c r="AV970" s="46"/>
      <c r="BA970" s="49"/>
      <c r="BB970" s="42"/>
      <c r="BC970" s="42"/>
      <c r="BD970" s="42"/>
      <c r="BE970" s="42"/>
    </row>
    <row r="971" spans="1:188" s="57" customFormat="1" ht="17.25" customHeight="1">
      <c r="A971" s="13">
        <v>37</v>
      </c>
      <c r="B971" s="92" t="s">
        <v>357</v>
      </c>
      <c r="C971" s="45"/>
      <c r="D971" s="44">
        <v>32</v>
      </c>
      <c r="E971" s="44">
        <v>7</v>
      </c>
      <c r="F971" s="44">
        <v>265</v>
      </c>
      <c r="G971" s="44">
        <v>275</v>
      </c>
      <c r="H971" s="44">
        <v>289</v>
      </c>
      <c r="I971" s="44">
        <v>300</v>
      </c>
      <c r="J971" s="44"/>
      <c r="K971" s="44">
        <v>315</v>
      </c>
      <c r="L971" s="44">
        <f>L972</f>
        <v>2</v>
      </c>
      <c r="M971" s="44">
        <f>M972</f>
        <v>2</v>
      </c>
      <c r="N971" s="44">
        <v>4</v>
      </c>
      <c r="O971" s="44">
        <v>4</v>
      </c>
      <c r="P971" s="44">
        <f>P972</f>
        <v>2</v>
      </c>
      <c r="Q971" s="54" t="s">
        <v>649</v>
      </c>
      <c r="R971" s="54">
        <v>1</v>
      </c>
      <c r="S971" s="59" t="s">
        <v>1309</v>
      </c>
      <c r="T971" s="56"/>
      <c r="U971" s="56"/>
      <c r="V971" s="56"/>
      <c r="W971" s="56"/>
      <c r="X971" s="56"/>
      <c r="Y971" s="56"/>
      <c r="Z971" s="56"/>
      <c r="AA971" s="56"/>
      <c r="AB971" s="56"/>
      <c r="AC971" s="56"/>
      <c r="AD971" s="56"/>
      <c r="AE971" s="56"/>
      <c r="AF971" s="56"/>
      <c r="AG971" s="56"/>
      <c r="AH971" s="56"/>
      <c r="AI971" s="56"/>
      <c r="AJ971" s="56"/>
      <c r="AK971" s="56"/>
      <c r="AL971" s="56"/>
      <c r="AM971" s="56"/>
      <c r="AN971" s="56"/>
      <c r="AO971" s="56"/>
      <c r="AP971" s="56"/>
      <c r="AQ971" s="56"/>
      <c r="AR971" s="56"/>
      <c r="AS971" s="56"/>
      <c r="AT971" s="56"/>
      <c r="AU971" s="56"/>
      <c r="AV971" s="56"/>
      <c r="AW971" s="56"/>
      <c r="AX971" s="56"/>
      <c r="AY971" s="56"/>
      <c r="AZ971" s="56"/>
      <c r="BA971" s="56"/>
      <c r="BB971" s="56"/>
      <c r="BC971" s="56"/>
      <c r="BD971" s="56"/>
      <c r="BE971" s="56"/>
      <c r="BF971" s="56"/>
      <c r="BG971" s="56"/>
      <c r="BH971" s="56"/>
      <c r="BI971" s="56"/>
      <c r="BJ971" s="56"/>
      <c r="BK971" s="56"/>
      <c r="BL971" s="56"/>
      <c r="BM971" s="56"/>
      <c r="BN971" s="56"/>
      <c r="BO971" s="56"/>
      <c r="BP971" s="56"/>
      <c r="BQ971" s="56"/>
      <c r="BR971" s="56"/>
      <c r="BS971" s="56"/>
      <c r="BT971" s="56"/>
      <c r="BU971" s="56"/>
      <c r="BV971" s="56"/>
      <c r="BW971" s="56"/>
      <c r="BX971" s="56"/>
      <c r="BY971" s="56"/>
      <c r="BZ971" s="56"/>
      <c r="CA971" s="56"/>
      <c r="CB971" s="56"/>
      <c r="CC971" s="56"/>
      <c r="CD971" s="56"/>
      <c r="CE971" s="56"/>
      <c r="CF971" s="56"/>
      <c r="CG971" s="56"/>
      <c r="CH971" s="56"/>
      <c r="CI971" s="56"/>
      <c r="CJ971" s="56"/>
      <c r="CK971" s="56"/>
      <c r="CL971" s="56"/>
      <c r="CM971" s="56"/>
      <c r="CN971" s="56"/>
      <c r="CO971" s="56"/>
      <c r="CP971" s="56"/>
      <c r="CQ971" s="56"/>
      <c r="CR971" s="56"/>
      <c r="CS971" s="56"/>
      <c r="CT971" s="56"/>
      <c r="CU971" s="56"/>
      <c r="CV971" s="56"/>
      <c r="CW971" s="56"/>
      <c r="CX971" s="56"/>
      <c r="CY971" s="56"/>
      <c r="CZ971" s="56"/>
      <c r="DA971" s="56"/>
      <c r="DB971" s="56"/>
      <c r="DC971" s="56"/>
      <c r="DD971" s="56"/>
      <c r="DE971" s="56"/>
      <c r="DF971" s="56"/>
      <c r="DG971" s="56"/>
      <c r="DH971" s="56"/>
      <c r="DI971" s="56"/>
      <c r="DJ971" s="56"/>
      <c r="DK971" s="56"/>
      <c r="DL971" s="56"/>
      <c r="DM971" s="56"/>
      <c r="DN971" s="56"/>
      <c r="DO971" s="56"/>
      <c r="DP971" s="56"/>
      <c r="DQ971" s="56"/>
      <c r="DR971" s="56"/>
      <c r="DS971" s="56"/>
      <c r="DT971" s="56"/>
      <c r="DU971" s="56"/>
      <c r="DV971" s="56"/>
      <c r="DW971" s="56"/>
      <c r="DX971" s="56"/>
      <c r="DY971" s="56"/>
      <c r="DZ971" s="56"/>
      <c r="EA971" s="56"/>
      <c r="EB971" s="56"/>
      <c r="EC971" s="56"/>
      <c r="ED971" s="56"/>
      <c r="EE971" s="56"/>
      <c r="EF971" s="56"/>
      <c r="EG971" s="56"/>
      <c r="EH971" s="56"/>
      <c r="EI971" s="56"/>
      <c r="EJ971" s="56"/>
      <c r="EK971" s="56"/>
      <c r="EL971" s="56"/>
      <c r="EM971" s="56"/>
      <c r="EN971" s="56"/>
      <c r="EO971" s="56"/>
      <c r="EP971" s="56"/>
      <c r="EQ971" s="56"/>
      <c r="ER971" s="56"/>
      <c r="ES971" s="56"/>
      <c r="ET971" s="56"/>
      <c r="EU971" s="56"/>
      <c r="EV971" s="56"/>
      <c r="EW971" s="56"/>
      <c r="EX971" s="56"/>
      <c r="EY971" s="56"/>
      <c r="EZ971" s="56"/>
      <c r="FA971" s="56"/>
      <c r="FB971" s="56"/>
      <c r="FC971" s="56"/>
      <c r="FD971" s="56"/>
      <c r="FE971" s="56"/>
      <c r="FF971" s="56"/>
      <c r="FG971" s="56"/>
      <c r="FH971" s="56"/>
      <c r="FI971" s="56"/>
      <c r="FJ971" s="56"/>
      <c r="FK971" s="56"/>
      <c r="FL971" s="56"/>
      <c r="FM971" s="56"/>
      <c r="FN971" s="56"/>
      <c r="FO971" s="56"/>
      <c r="FP971" s="56"/>
      <c r="FQ971" s="56"/>
      <c r="FR971" s="56"/>
      <c r="FS971" s="56"/>
      <c r="FT971" s="56"/>
      <c r="FU971" s="56"/>
      <c r="FV971" s="56"/>
      <c r="FW971" s="56"/>
      <c r="FX971" s="56"/>
      <c r="FY971" s="56"/>
      <c r="FZ971" s="56"/>
      <c r="GA971" s="56"/>
      <c r="GB971" s="56"/>
      <c r="GC971" s="56"/>
      <c r="GD971" s="56"/>
      <c r="GE971" s="56"/>
      <c r="GF971" s="56"/>
    </row>
    <row r="972" spans="1:57" s="43" customFormat="1" ht="15.75">
      <c r="A972" s="13"/>
      <c r="B972" s="104" t="s">
        <v>669</v>
      </c>
      <c r="C972" s="15"/>
      <c r="D972" s="40"/>
      <c r="E972" s="40"/>
      <c r="F972" s="40"/>
      <c r="G972" s="40"/>
      <c r="H972" s="40"/>
      <c r="I972" s="40"/>
      <c r="J972" s="40"/>
      <c r="K972" s="40"/>
      <c r="L972" s="60">
        <f>SUM(L973:L973)</f>
        <v>2</v>
      </c>
      <c r="M972" s="60">
        <f>SUM(M973:M973)</f>
        <v>2</v>
      </c>
      <c r="N972" s="60">
        <f>SUM(N973:N973)</f>
        <v>3</v>
      </c>
      <c r="O972" s="60">
        <f>SUM(O973:O973)</f>
        <v>3</v>
      </c>
      <c r="P972" s="60">
        <f>SUM(P973:P973)</f>
        <v>2</v>
      </c>
      <c r="Q972" s="70"/>
      <c r="R972" s="41"/>
      <c r="S972" s="41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  <c r="AL972" s="46"/>
      <c r="AM972" s="46"/>
      <c r="AN972" s="46"/>
      <c r="AO972" s="46"/>
      <c r="AP972" s="46"/>
      <c r="AQ972" s="46"/>
      <c r="AR972" s="46"/>
      <c r="AS972" s="46"/>
      <c r="AT972" s="46"/>
      <c r="AU972" s="46"/>
      <c r="AV972" s="46"/>
      <c r="BA972" s="49"/>
      <c r="BB972" s="42"/>
      <c r="BC972" s="42"/>
      <c r="BD972" s="42"/>
      <c r="BE972" s="42"/>
    </row>
    <row r="973" spans="1:57" s="43" customFormat="1" ht="17.25" customHeight="1">
      <c r="A973" s="13"/>
      <c r="B973" s="105" t="s">
        <v>430</v>
      </c>
      <c r="C973" s="15" t="s">
        <v>431</v>
      </c>
      <c r="D973" s="44"/>
      <c r="E973" s="44"/>
      <c r="F973" s="44"/>
      <c r="G973" s="44"/>
      <c r="H973" s="44"/>
      <c r="I973" s="40"/>
      <c r="J973" s="40"/>
      <c r="K973" s="40"/>
      <c r="L973" s="40">
        <v>2</v>
      </c>
      <c r="M973" s="40">
        <v>2</v>
      </c>
      <c r="N973" s="40">
        <v>3</v>
      </c>
      <c r="O973" s="40">
        <v>3</v>
      </c>
      <c r="P973" s="40">
        <v>2</v>
      </c>
      <c r="Q973" s="70"/>
      <c r="R973" s="41"/>
      <c r="S973" s="41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  <c r="AK973" s="46"/>
      <c r="AL973" s="46"/>
      <c r="AM973" s="46"/>
      <c r="AN973" s="46"/>
      <c r="AO973" s="46"/>
      <c r="AP973" s="46"/>
      <c r="AQ973" s="46"/>
      <c r="AR973" s="46"/>
      <c r="AS973" s="46"/>
      <c r="AT973" s="46"/>
      <c r="AU973" s="46"/>
      <c r="AV973" s="46"/>
      <c r="BA973" s="49"/>
      <c r="BB973" s="42"/>
      <c r="BC973" s="42"/>
      <c r="BD973" s="42"/>
      <c r="BE973" s="42"/>
    </row>
    <row r="974" spans="1:57" s="43" customFormat="1" ht="17.25" customHeight="1">
      <c r="A974" s="13"/>
      <c r="B974" s="104" t="s">
        <v>670</v>
      </c>
      <c r="C974" s="15"/>
      <c r="D974" s="40"/>
      <c r="E974" s="40"/>
      <c r="F974" s="40"/>
      <c r="G974" s="40"/>
      <c r="H974" s="40"/>
      <c r="I974" s="40"/>
      <c r="J974" s="40"/>
      <c r="K974" s="40"/>
      <c r="L974" s="60" t="str">
        <f>L975</f>
        <v> -</v>
      </c>
      <c r="M974" s="60" t="str">
        <f>M975</f>
        <v> -</v>
      </c>
      <c r="N974" s="60">
        <f>N975</f>
        <v>1</v>
      </c>
      <c r="O974" s="60">
        <f>O975</f>
        <v>1</v>
      </c>
      <c r="P974" s="60" t="str">
        <f>P975</f>
        <v> -</v>
      </c>
      <c r="Q974" s="70"/>
      <c r="R974" s="41"/>
      <c r="S974" s="41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  <c r="AK974" s="46"/>
      <c r="AL974" s="46"/>
      <c r="AM974" s="46"/>
      <c r="AN974" s="46"/>
      <c r="AO974" s="46"/>
      <c r="AP974" s="46"/>
      <c r="AQ974" s="46"/>
      <c r="AR974" s="46"/>
      <c r="AS974" s="46"/>
      <c r="AT974" s="46"/>
      <c r="AU974" s="46"/>
      <c r="AV974" s="46"/>
      <c r="BA974" s="49"/>
      <c r="BB974" s="42"/>
      <c r="BC974" s="42"/>
      <c r="BD974" s="42"/>
      <c r="BE974" s="42"/>
    </row>
    <row r="975" spans="1:57" s="43" customFormat="1" ht="17.25" customHeight="1">
      <c r="A975" s="13"/>
      <c r="B975" s="97" t="s">
        <v>1281</v>
      </c>
      <c r="C975" s="15" t="s">
        <v>1282</v>
      </c>
      <c r="D975" s="40"/>
      <c r="E975" s="40"/>
      <c r="F975" s="40"/>
      <c r="G975" s="40"/>
      <c r="H975" s="40"/>
      <c r="I975" s="40"/>
      <c r="J975" s="40"/>
      <c r="K975" s="40"/>
      <c r="L975" s="40" t="s">
        <v>556</v>
      </c>
      <c r="M975" s="40" t="s">
        <v>556</v>
      </c>
      <c r="N975" s="40">
        <v>1</v>
      </c>
      <c r="O975" s="40">
        <v>1</v>
      </c>
      <c r="P975" s="40" t="s">
        <v>556</v>
      </c>
      <c r="Q975" s="70"/>
      <c r="R975" s="41"/>
      <c r="S975" s="41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  <c r="AN975" s="46"/>
      <c r="AO975" s="46"/>
      <c r="AP975" s="46"/>
      <c r="AQ975" s="46"/>
      <c r="AR975" s="46"/>
      <c r="AS975" s="46"/>
      <c r="AT975" s="46"/>
      <c r="AU975" s="46"/>
      <c r="AV975" s="46"/>
      <c r="BA975" s="49"/>
      <c r="BB975" s="42"/>
      <c r="BC975" s="42"/>
      <c r="BD975" s="42"/>
      <c r="BE975" s="42"/>
    </row>
    <row r="976" spans="1:188" s="57" customFormat="1" ht="19.5" customHeight="1">
      <c r="A976" s="13">
        <v>38</v>
      </c>
      <c r="B976" s="92" t="s">
        <v>581</v>
      </c>
      <c r="C976" s="45"/>
      <c r="D976" s="44">
        <v>61</v>
      </c>
      <c r="E976" s="44">
        <v>6</v>
      </c>
      <c r="F976" s="44">
        <v>265</v>
      </c>
      <c r="G976" s="44">
        <v>275</v>
      </c>
      <c r="H976" s="44">
        <v>289</v>
      </c>
      <c r="I976" s="44">
        <v>300</v>
      </c>
      <c r="J976" s="44"/>
      <c r="K976" s="44">
        <v>315</v>
      </c>
      <c r="L976" s="44">
        <f>L977</f>
        <v>11</v>
      </c>
      <c r="M976" s="44">
        <f>M977</f>
        <v>13</v>
      </c>
      <c r="N976" s="44">
        <f>N977</f>
        <v>14</v>
      </c>
      <c r="O976" s="44">
        <f>O977</f>
        <v>16</v>
      </c>
      <c r="P976" s="44">
        <f>P977</f>
        <v>16</v>
      </c>
      <c r="Q976" s="54" t="s">
        <v>649</v>
      </c>
      <c r="R976" s="54">
        <v>1</v>
      </c>
      <c r="S976" s="59" t="s">
        <v>1309</v>
      </c>
      <c r="T976" s="56"/>
      <c r="U976" s="56"/>
      <c r="V976" s="56"/>
      <c r="W976" s="56"/>
      <c r="X976" s="56"/>
      <c r="Y976" s="56"/>
      <c r="Z976" s="56"/>
      <c r="AA976" s="56"/>
      <c r="AB976" s="56"/>
      <c r="AC976" s="56"/>
      <c r="AD976" s="56"/>
      <c r="AE976" s="56"/>
      <c r="AF976" s="56"/>
      <c r="AG976" s="56"/>
      <c r="AH976" s="56"/>
      <c r="AI976" s="56"/>
      <c r="AJ976" s="56"/>
      <c r="AK976" s="56"/>
      <c r="AL976" s="56"/>
      <c r="AM976" s="56"/>
      <c r="AN976" s="56"/>
      <c r="AO976" s="56"/>
      <c r="AP976" s="56"/>
      <c r="AQ976" s="56"/>
      <c r="AR976" s="56"/>
      <c r="AS976" s="56"/>
      <c r="AT976" s="56"/>
      <c r="AU976" s="56"/>
      <c r="AV976" s="56"/>
      <c r="AW976" s="56"/>
      <c r="AX976" s="56"/>
      <c r="AY976" s="56"/>
      <c r="AZ976" s="56"/>
      <c r="BA976" s="56"/>
      <c r="BB976" s="56"/>
      <c r="BC976" s="56"/>
      <c r="BD976" s="56"/>
      <c r="BE976" s="56"/>
      <c r="BF976" s="56"/>
      <c r="BG976" s="56"/>
      <c r="BH976" s="56"/>
      <c r="BI976" s="56"/>
      <c r="BJ976" s="56"/>
      <c r="BK976" s="56"/>
      <c r="BL976" s="56"/>
      <c r="BM976" s="56"/>
      <c r="BN976" s="56"/>
      <c r="BO976" s="56"/>
      <c r="BP976" s="56"/>
      <c r="BQ976" s="56"/>
      <c r="BR976" s="56"/>
      <c r="BS976" s="56"/>
      <c r="BT976" s="56"/>
      <c r="BU976" s="56"/>
      <c r="BV976" s="56"/>
      <c r="BW976" s="56"/>
      <c r="BX976" s="56"/>
      <c r="BY976" s="56"/>
      <c r="BZ976" s="56"/>
      <c r="CA976" s="56"/>
      <c r="CB976" s="56"/>
      <c r="CC976" s="56"/>
      <c r="CD976" s="56"/>
      <c r="CE976" s="56"/>
      <c r="CF976" s="56"/>
      <c r="CG976" s="56"/>
      <c r="CH976" s="56"/>
      <c r="CI976" s="56"/>
      <c r="CJ976" s="56"/>
      <c r="CK976" s="56"/>
      <c r="CL976" s="56"/>
      <c r="CM976" s="56"/>
      <c r="CN976" s="56"/>
      <c r="CO976" s="56"/>
      <c r="CP976" s="56"/>
      <c r="CQ976" s="56"/>
      <c r="CR976" s="56"/>
      <c r="CS976" s="56"/>
      <c r="CT976" s="56"/>
      <c r="CU976" s="56"/>
      <c r="CV976" s="56"/>
      <c r="CW976" s="56"/>
      <c r="CX976" s="56"/>
      <c r="CY976" s="56"/>
      <c r="CZ976" s="56"/>
      <c r="DA976" s="56"/>
      <c r="DB976" s="56"/>
      <c r="DC976" s="56"/>
      <c r="DD976" s="56"/>
      <c r="DE976" s="56"/>
      <c r="DF976" s="56"/>
      <c r="DG976" s="56"/>
      <c r="DH976" s="56"/>
      <c r="DI976" s="56"/>
      <c r="DJ976" s="56"/>
      <c r="DK976" s="56"/>
      <c r="DL976" s="56"/>
      <c r="DM976" s="56"/>
      <c r="DN976" s="56"/>
      <c r="DO976" s="56"/>
      <c r="DP976" s="56"/>
      <c r="DQ976" s="56"/>
      <c r="DR976" s="56"/>
      <c r="DS976" s="56"/>
      <c r="DT976" s="56"/>
      <c r="DU976" s="56"/>
      <c r="DV976" s="56"/>
      <c r="DW976" s="56"/>
      <c r="DX976" s="56"/>
      <c r="DY976" s="56"/>
      <c r="DZ976" s="56"/>
      <c r="EA976" s="56"/>
      <c r="EB976" s="56"/>
      <c r="EC976" s="56"/>
      <c r="ED976" s="56"/>
      <c r="EE976" s="56"/>
      <c r="EF976" s="56"/>
      <c r="EG976" s="56"/>
      <c r="EH976" s="56"/>
      <c r="EI976" s="56"/>
      <c r="EJ976" s="56"/>
      <c r="EK976" s="56"/>
      <c r="EL976" s="56"/>
      <c r="EM976" s="56"/>
      <c r="EN976" s="56"/>
      <c r="EO976" s="56"/>
      <c r="EP976" s="56"/>
      <c r="EQ976" s="56"/>
      <c r="ER976" s="56"/>
      <c r="ES976" s="56"/>
      <c r="ET976" s="56"/>
      <c r="EU976" s="56"/>
      <c r="EV976" s="56"/>
      <c r="EW976" s="56"/>
      <c r="EX976" s="56"/>
      <c r="EY976" s="56"/>
      <c r="EZ976" s="56"/>
      <c r="FA976" s="56"/>
      <c r="FB976" s="56"/>
      <c r="FC976" s="56"/>
      <c r="FD976" s="56"/>
      <c r="FE976" s="56"/>
      <c r="FF976" s="56"/>
      <c r="FG976" s="56"/>
      <c r="FH976" s="56"/>
      <c r="FI976" s="56"/>
      <c r="FJ976" s="56"/>
      <c r="FK976" s="56"/>
      <c r="FL976" s="56"/>
      <c r="FM976" s="56"/>
      <c r="FN976" s="56"/>
      <c r="FO976" s="56"/>
      <c r="FP976" s="56"/>
      <c r="FQ976" s="56"/>
      <c r="FR976" s="56"/>
      <c r="FS976" s="56"/>
      <c r="FT976" s="56"/>
      <c r="FU976" s="56"/>
      <c r="FV976" s="56"/>
      <c r="FW976" s="56"/>
      <c r="FX976" s="56"/>
      <c r="FY976" s="56"/>
      <c r="FZ976" s="56"/>
      <c r="GA976" s="56"/>
      <c r="GB976" s="56"/>
      <c r="GC976" s="56"/>
      <c r="GD976" s="56"/>
      <c r="GE976" s="56"/>
      <c r="GF976" s="56"/>
    </row>
    <row r="977" spans="1:57" s="43" customFormat="1" ht="15.75">
      <c r="A977" s="13"/>
      <c r="B977" s="104" t="s">
        <v>669</v>
      </c>
      <c r="C977" s="15"/>
      <c r="D977" s="40"/>
      <c r="E977" s="40"/>
      <c r="F977" s="40"/>
      <c r="G977" s="40"/>
      <c r="H977" s="40"/>
      <c r="I977" s="40"/>
      <c r="J977" s="40"/>
      <c r="K977" s="40"/>
      <c r="L977" s="60">
        <f>SUM(L978:L978)</f>
        <v>11</v>
      </c>
      <c r="M977" s="60">
        <f>SUM(M978:M978)</f>
        <v>13</v>
      </c>
      <c r="N977" s="60">
        <f>SUM(N978:N978)</f>
        <v>14</v>
      </c>
      <c r="O977" s="60">
        <f>SUM(O978:O978)</f>
        <v>16</v>
      </c>
      <c r="P977" s="60">
        <f>SUM(P978:P978)</f>
        <v>16</v>
      </c>
      <c r="Q977" s="70"/>
      <c r="R977" s="41"/>
      <c r="S977" s="41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  <c r="AL977" s="46"/>
      <c r="AM977" s="46"/>
      <c r="AN977" s="46"/>
      <c r="AO977" s="46"/>
      <c r="AP977" s="46"/>
      <c r="AQ977" s="46"/>
      <c r="AR977" s="46"/>
      <c r="AS977" s="46"/>
      <c r="AT977" s="46"/>
      <c r="AU977" s="46"/>
      <c r="AV977" s="46"/>
      <c r="BA977" s="49"/>
      <c r="BB977" s="42"/>
      <c r="BC977" s="42"/>
      <c r="BD977" s="42"/>
      <c r="BE977" s="42"/>
    </row>
    <row r="978" spans="1:57" s="43" customFormat="1" ht="17.25" customHeight="1">
      <c r="A978" s="13"/>
      <c r="B978" s="105" t="s">
        <v>1030</v>
      </c>
      <c r="C978" s="15" t="s">
        <v>1031</v>
      </c>
      <c r="D978" s="44"/>
      <c r="E978" s="44"/>
      <c r="F978" s="44"/>
      <c r="G978" s="44"/>
      <c r="H978" s="44"/>
      <c r="I978" s="40"/>
      <c r="J978" s="40"/>
      <c r="K978" s="40"/>
      <c r="L978" s="40">
        <v>11</v>
      </c>
      <c r="M978" s="40">
        <v>13</v>
      </c>
      <c r="N978" s="40">
        <v>14</v>
      </c>
      <c r="O978" s="40">
        <v>16</v>
      </c>
      <c r="P978" s="40">
        <v>16</v>
      </c>
      <c r="Q978" s="70"/>
      <c r="R978" s="41"/>
      <c r="S978" s="41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  <c r="AT978" s="46"/>
      <c r="AU978" s="46"/>
      <c r="AV978" s="46"/>
      <c r="BA978" s="49"/>
      <c r="BB978" s="42"/>
      <c r="BC978" s="42"/>
      <c r="BD978" s="42"/>
      <c r="BE978" s="42"/>
    </row>
    <row r="979" spans="1:188" s="57" customFormat="1" ht="17.25" customHeight="1">
      <c r="A979" s="13">
        <v>39</v>
      </c>
      <c r="B979" s="92" t="s">
        <v>205</v>
      </c>
      <c r="C979" s="45"/>
      <c r="D979" s="44">
        <v>50</v>
      </c>
      <c r="E979" s="44">
        <v>17</v>
      </c>
      <c r="F979" s="44">
        <v>63</v>
      </c>
      <c r="G979" s="44">
        <v>60</v>
      </c>
      <c r="H979" s="44">
        <v>60</v>
      </c>
      <c r="I979" s="44">
        <v>60</v>
      </c>
      <c r="J979" s="44">
        <v>60</v>
      </c>
      <c r="K979" s="44">
        <v>60</v>
      </c>
      <c r="L979" s="44" t="str">
        <f>L980</f>
        <v> -</v>
      </c>
      <c r="M979" s="44">
        <v>4</v>
      </c>
      <c r="N979" s="44">
        <v>3</v>
      </c>
      <c r="O979" s="44" t="str">
        <f>O980</f>
        <v> -</v>
      </c>
      <c r="P979" s="44" t="str">
        <f>P980</f>
        <v> -</v>
      </c>
      <c r="Q979" s="54" t="s">
        <v>649</v>
      </c>
      <c r="R979" s="54">
        <v>1</v>
      </c>
      <c r="S979" s="55" t="s">
        <v>1338</v>
      </c>
      <c r="T979" s="56"/>
      <c r="U979" s="56"/>
      <c r="V979" s="56"/>
      <c r="W979" s="56"/>
      <c r="X979" s="56"/>
      <c r="Y979" s="56"/>
      <c r="Z979" s="56"/>
      <c r="AA979" s="56"/>
      <c r="AB979" s="56"/>
      <c r="AC979" s="56"/>
      <c r="AD979" s="56"/>
      <c r="AE979" s="56"/>
      <c r="AF979" s="56"/>
      <c r="AG979" s="56"/>
      <c r="AH979" s="56"/>
      <c r="AI979" s="56"/>
      <c r="AJ979" s="56"/>
      <c r="AK979" s="56"/>
      <c r="AL979" s="56"/>
      <c r="AM979" s="56"/>
      <c r="AN979" s="56"/>
      <c r="AO979" s="56"/>
      <c r="AP979" s="56"/>
      <c r="AQ979" s="56"/>
      <c r="AR979" s="56"/>
      <c r="AS979" s="56"/>
      <c r="AT979" s="56"/>
      <c r="AU979" s="56"/>
      <c r="AV979" s="56"/>
      <c r="AW979" s="56"/>
      <c r="AX979" s="56"/>
      <c r="AY979" s="56"/>
      <c r="AZ979" s="56"/>
      <c r="BA979" s="56"/>
      <c r="BB979" s="56"/>
      <c r="BC979" s="56"/>
      <c r="BD979" s="56"/>
      <c r="BE979" s="56"/>
      <c r="BF979" s="56"/>
      <c r="BG979" s="56"/>
      <c r="BH979" s="56"/>
      <c r="BI979" s="56"/>
      <c r="BJ979" s="56"/>
      <c r="BK979" s="56"/>
      <c r="BL979" s="56"/>
      <c r="BM979" s="56"/>
      <c r="BN979" s="56"/>
      <c r="BO979" s="56"/>
      <c r="BP979" s="56"/>
      <c r="BQ979" s="56"/>
      <c r="BR979" s="56"/>
      <c r="BS979" s="56"/>
      <c r="BT979" s="56"/>
      <c r="BU979" s="56"/>
      <c r="BV979" s="56"/>
      <c r="BW979" s="56"/>
      <c r="BX979" s="56"/>
      <c r="BY979" s="56"/>
      <c r="BZ979" s="56"/>
      <c r="CA979" s="56"/>
      <c r="CB979" s="56"/>
      <c r="CC979" s="56"/>
      <c r="CD979" s="56"/>
      <c r="CE979" s="56"/>
      <c r="CF979" s="56"/>
      <c r="CG979" s="56"/>
      <c r="CH979" s="56"/>
      <c r="CI979" s="56"/>
      <c r="CJ979" s="56"/>
      <c r="CK979" s="56"/>
      <c r="CL979" s="56"/>
      <c r="CM979" s="56"/>
      <c r="CN979" s="56"/>
      <c r="CO979" s="56"/>
      <c r="CP979" s="56"/>
      <c r="CQ979" s="56"/>
      <c r="CR979" s="56"/>
      <c r="CS979" s="56"/>
      <c r="CT979" s="56"/>
      <c r="CU979" s="56"/>
      <c r="CV979" s="56"/>
      <c r="CW979" s="56"/>
      <c r="CX979" s="56"/>
      <c r="CY979" s="56"/>
      <c r="CZ979" s="56"/>
      <c r="DA979" s="56"/>
      <c r="DB979" s="56"/>
      <c r="DC979" s="56"/>
      <c r="DD979" s="56"/>
      <c r="DE979" s="56"/>
      <c r="DF979" s="56"/>
      <c r="DG979" s="56"/>
      <c r="DH979" s="56"/>
      <c r="DI979" s="56"/>
      <c r="DJ979" s="56"/>
      <c r="DK979" s="56"/>
      <c r="DL979" s="56"/>
      <c r="DM979" s="56"/>
      <c r="DN979" s="56"/>
      <c r="DO979" s="56"/>
      <c r="DP979" s="56"/>
      <c r="DQ979" s="56"/>
      <c r="DR979" s="56"/>
      <c r="DS979" s="56"/>
      <c r="DT979" s="56"/>
      <c r="DU979" s="56"/>
      <c r="DV979" s="56"/>
      <c r="DW979" s="56"/>
      <c r="DX979" s="56"/>
      <c r="DY979" s="56"/>
      <c r="DZ979" s="56"/>
      <c r="EA979" s="56"/>
      <c r="EB979" s="56"/>
      <c r="EC979" s="56"/>
      <c r="ED979" s="56"/>
      <c r="EE979" s="56"/>
      <c r="EF979" s="56"/>
      <c r="EG979" s="56"/>
      <c r="EH979" s="56"/>
      <c r="EI979" s="56"/>
      <c r="EJ979" s="56"/>
      <c r="EK979" s="56"/>
      <c r="EL979" s="56"/>
      <c r="EM979" s="56"/>
      <c r="EN979" s="56"/>
      <c r="EO979" s="56"/>
      <c r="EP979" s="56"/>
      <c r="EQ979" s="56"/>
      <c r="ER979" s="56"/>
      <c r="ES979" s="56"/>
      <c r="ET979" s="56"/>
      <c r="EU979" s="56"/>
      <c r="EV979" s="56"/>
      <c r="EW979" s="56"/>
      <c r="EX979" s="56"/>
      <c r="EY979" s="56"/>
      <c r="EZ979" s="56"/>
      <c r="FA979" s="56"/>
      <c r="FB979" s="56"/>
      <c r="FC979" s="56"/>
      <c r="FD979" s="56"/>
      <c r="FE979" s="56"/>
      <c r="FF979" s="56"/>
      <c r="FG979" s="56"/>
      <c r="FH979" s="56"/>
      <c r="FI979" s="56"/>
      <c r="FJ979" s="56"/>
      <c r="FK979" s="56"/>
      <c r="FL979" s="56"/>
      <c r="FM979" s="56"/>
      <c r="FN979" s="56"/>
      <c r="FO979" s="56"/>
      <c r="FP979" s="56"/>
      <c r="FQ979" s="56"/>
      <c r="FR979" s="56"/>
      <c r="FS979" s="56"/>
      <c r="FT979" s="56"/>
      <c r="FU979" s="56"/>
      <c r="FV979" s="56"/>
      <c r="FW979" s="56"/>
      <c r="FX979" s="56"/>
      <c r="FY979" s="56"/>
      <c r="FZ979" s="56"/>
      <c r="GA979" s="56"/>
      <c r="GB979" s="56"/>
      <c r="GC979" s="56"/>
      <c r="GD979" s="56"/>
      <c r="GE979" s="56"/>
      <c r="GF979" s="56"/>
    </row>
    <row r="980" spans="1:48" s="18" customFormat="1" ht="17.25" customHeight="1">
      <c r="A980" s="50"/>
      <c r="B980" s="93" t="s">
        <v>669</v>
      </c>
      <c r="C980" s="16"/>
      <c r="D980" s="52"/>
      <c r="E980" s="52"/>
      <c r="F980" s="52"/>
      <c r="G980" s="52"/>
      <c r="H980" s="52"/>
      <c r="I980" s="52"/>
      <c r="J980" s="52"/>
      <c r="K980" s="52"/>
      <c r="L980" s="60" t="str">
        <f>L981</f>
        <v> -</v>
      </c>
      <c r="M980" s="60">
        <v>3</v>
      </c>
      <c r="N980" s="60">
        <v>3</v>
      </c>
      <c r="O980" s="60" t="str">
        <f>O981</f>
        <v> -</v>
      </c>
      <c r="P980" s="60" t="str">
        <f>P981</f>
        <v> -</v>
      </c>
      <c r="Q980" s="23"/>
      <c r="R980" s="23"/>
      <c r="S980" s="17"/>
      <c r="T980" s="47"/>
      <c r="U980" s="47"/>
      <c r="V980" s="47"/>
      <c r="W980" s="47"/>
      <c r="X980" s="47"/>
      <c r="Y980" s="47"/>
      <c r="Z980" s="47"/>
      <c r="AA980" s="47"/>
      <c r="AB980" s="47"/>
      <c r="AC980" s="47"/>
      <c r="AD980" s="47"/>
      <c r="AE980" s="47"/>
      <c r="AF980" s="47"/>
      <c r="AG980" s="47"/>
      <c r="AH980" s="47"/>
      <c r="AI980" s="47"/>
      <c r="AJ980" s="47"/>
      <c r="AK980" s="47"/>
      <c r="AL980" s="47"/>
      <c r="AM980" s="47"/>
      <c r="AN980" s="47"/>
      <c r="AO980" s="47"/>
      <c r="AP980" s="47"/>
      <c r="AQ980" s="47"/>
      <c r="AR980" s="47"/>
      <c r="AS980" s="47"/>
      <c r="AT980" s="47"/>
      <c r="AU980" s="47"/>
      <c r="AV980" s="47"/>
    </row>
    <row r="981" spans="1:48" s="27" customFormat="1" ht="17.25" customHeight="1">
      <c r="A981" s="12"/>
      <c r="B981" s="97" t="s">
        <v>460</v>
      </c>
      <c r="C981" s="29" t="s">
        <v>544</v>
      </c>
      <c r="D981" s="51"/>
      <c r="E981" s="51"/>
      <c r="F981" s="51">
        <v>12</v>
      </c>
      <c r="G981" s="51">
        <v>11</v>
      </c>
      <c r="H981" s="51">
        <v>11</v>
      </c>
      <c r="I981" s="51">
        <v>11</v>
      </c>
      <c r="J981" s="51">
        <v>11</v>
      </c>
      <c r="K981" s="51">
        <v>11</v>
      </c>
      <c r="L981" s="40" t="s">
        <v>556</v>
      </c>
      <c r="M981" s="40" t="s">
        <v>556</v>
      </c>
      <c r="N981" s="40">
        <v>3</v>
      </c>
      <c r="O981" s="40" t="s">
        <v>556</v>
      </c>
      <c r="P981" s="40" t="s">
        <v>556</v>
      </c>
      <c r="Q981" s="33"/>
      <c r="R981" s="28"/>
      <c r="S981" s="2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</row>
    <row r="982" spans="1:48" s="27" customFormat="1" ht="17.25" customHeight="1">
      <c r="A982" s="12"/>
      <c r="B982" s="97" t="s">
        <v>555</v>
      </c>
      <c r="C982" s="29" t="s">
        <v>445</v>
      </c>
      <c r="D982" s="51"/>
      <c r="E982" s="51"/>
      <c r="F982" s="51"/>
      <c r="G982" s="51">
        <v>17</v>
      </c>
      <c r="H982" s="51">
        <v>17</v>
      </c>
      <c r="I982" s="51">
        <v>17</v>
      </c>
      <c r="J982" s="51">
        <v>17</v>
      </c>
      <c r="K982" s="51">
        <v>17</v>
      </c>
      <c r="L982" s="40" t="s">
        <v>556</v>
      </c>
      <c r="M982" s="40">
        <v>3</v>
      </c>
      <c r="N982" s="40" t="s">
        <v>556</v>
      </c>
      <c r="O982" s="40" t="s">
        <v>556</v>
      </c>
      <c r="P982" s="40" t="s">
        <v>556</v>
      </c>
      <c r="Q982" s="33"/>
      <c r="R982" s="33"/>
      <c r="S982" s="33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</row>
    <row r="983" spans="1:48" s="18" customFormat="1" ht="17.25" customHeight="1">
      <c r="A983" s="50"/>
      <c r="B983" s="93" t="s">
        <v>37</v>
      </c>
      <c r="C983" s="16"/>
      <c r="D983" s="52"/>
      <c r="E983" s="51"/>
      <c r="F983" s="52"/>
      <c r="G983" s="52"/>
      <c r="H983" s="52"/>
      <c r="I983" s="52"/>
      <c r="J983" s="52"/>
      <c r="K983" s="52"/>
      <c r="L983" s="60" t="str">
        <f>L984</f>
        <v> -</v>
      </c>
      <c r="M983" s="60">
        <f>M984</f>
        <v>1</v>
      </c>
      <c r="N983" s="60" t="str">
        <f>N984</f>
        <v> -</v>
      </c>
      <c r="O983" s="60" t="str">
        <f>O984</f>
        <v> -</v>
      </c>
      <c r="P983" s="60" t="str">
        <f>P984</f>
        <v> -</v>
      </c>
      <c r="T983" s="47"/>
      <c r="U983" s="47"/>
      <c r="V983" s="47"/>
      <c r="W983" s="47"/>
      <c r="X983" s="47"/>
      <c r="Y983" s="47"/>
      <c r="Z983" s="47"/>
      <c r="AA983" s="47"/>
      <c r="AB983" s="47"/>
      <c r="AC983" s="47"/>
      <c r="AD983" s="47"/>
      <c r="AE983" s="47"/>
      <c r="AF983" s="47"/>
      <c r="AG983" s="47"/>
      <c r="AH983" s="47"/>
      <c r="AI983" s="47"/>
      <c r="AJ983" s="47"/>
      <c r="AK983" s="47"/>
      <c r="AL983" s="47"/>
      <c r="AM983" s="47"/>
      <c r="AN983" s="47"/>
      <c r="AO983" s="47"/>
      <c r="AP983" s="47"/>
      <c r="AQ983" s="47"/>
      <c r="AR983" s="47"/>
      <c r="AS983" s="47"/>
      <c r="AT983" s="47"/>
      <c r="AU983" s="47"/>
      <c r="AV983" s="47"/>
    </row>
    <row r="984" spans="1:48" s="27" customFormat="1" ht="17.25" customHeight="1">
      <c r="A984" s="12"/>
      <c r="B984" s="97" t="s">
        <v>860</v>
      </c>
      <c r="C984" s="15" t="s">
        <v>861</v>
      </c>
      <c r="D984" s="51"/>
      <c r="E984" s="51"/>
      <c r="F984" s="51"/>
      <c r="G984" s="51">
        <v>1</v>
      </c>
      <c r="H984" s="51">
        <v>1</v>
      </c>
      <c r="I984" s="51">
        <v>1</v>
      </c>
      <c r="J984" s="51">
        <v>1</v>
      </c>
      <c r="K984" s="51">
        <v>1</v>
      </c>
      <c r="L984" s="40" t="s">
        <v>556</v>
      </c>
      <c r="M984" s="40">
        <v>1</v>
      </c>
      <c r="N984" s="40" t="s">
        <v>556</v>
      </c>
      <c r="O984" s="40" t="s">
        <v>556</v>
      </c>
      <c r="P984" s="40" t="s">
        <v>556</v>
      </c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</row>
    <row r="985" spans="1:188" s="57" customFormat="1" ht="17.25" customHeight="1">
      <c r="A985" s="13">
        <v>40</v>
      </c>
      <c r="B985" s="92" t="s">
        <v>329</v>
      </c>
      <c r="C985" s="45"/>
      <c r="D985" s="44">
        <v>44</v>
      </c>
      <c r="E985" s="44" t="s">
        <v>556</v>
      </c>
      <c r="F985" s="44">
        <v>63</v>
      </c>
      <c r="G985" s="44">
        <v>60</v>
      </c>
      <c r="H985" s="44">
        <v>60</v>
      </c>
      <c r="I985" s="44">
        <v>60</v>
      </c>
      <c r="J985" s="44">
        <v>60</v>
      </c>
      <c r="K985" s="44">
        <v>60</v>
      </c>
      <c r="L985" s="44">
        <f>L986</f>
        <v>3</v>
      </c>
      <c r="M985" s="44">
        <v>10</v>
      </c>
      <c r="N985" s="44">
        <f>N986</f>
        <v>9</v>
      </c>
      <c r="O985" s="44">
        <f>O986</f>
        <v>1</v>
      </c>
      <c r="P985" s="44" t="str">
        <f>P986</f>
        <v> -</v>
      </c>
      <c r="Q985" s="54" t="s">
        <v>649</v>
      </c>
      <c r="R985" s="54">
        <v>1</v>
      </c>
      <c r="S985" s="55" t="s">
        <v>1338</v>
      </c>
      <c r="T985" s="56"/>
      <c r="U985" s="56"/>
      <c r="V985" s="56"/>
      <c r="W985" s="56"/>
      <c r="X985" s="56"/>
      <c r="Y985" s="56"/>
      <c r="Z985" s="56"/>
      <c r="AA985" s="56"/>
      <c r="AB985" s="56"/>
      <c r="AC985" s="56"/>
      <c r="AD985" s="56"/>
      <c r="AE985" s="56"/>
      <c r="AF985" s="56"/>
      <c r="AG985" s="56"/>
      <c r="AH985" s="56"/>
      <c r="AI985" s="56"/>
      <c r="AJ985" s="56"/>
      <c r="AK985" s="56"/>
      <c r="AL985" s="56"/>
      <c r="AM985" s="56"/>
      <c r="AN985" s="56"/>
      <c r="AO985" s="56"/>
      <c r="AP985" s="56"/>
      <c r="AQ985" s="56"/>
      <c r="AR985" s="56"/>
      <c r="AS985" s="56"/>
      <c r="AT985" s="56"/>
      <c r="AU985" s="56"/>
      <c r="AV985" s="56"/>
      <c r="AW985" s="56"/>
      <c r="AX985" s="56"/>
      <c r="AY985" s="56"/>
      <c r="AZ985" s="56"/>
      <c r="BA985" s="56"/>
      <c r="BB985" s="56"/>
      <c r="BC985" s="56"/>
      <c r="BD985" s="56"/>
      <c r="BE985" s="56"/>
      <c r="BF985" s="56"/>
      <c r="BG985" s="56"/>
      <c r="BH985" s="56"/>
      <c r="BI985" s="56"/>
      <c r="BJ985" s="56"/>
      <c r="BK985" s="56"/>
      <c r="BL985" s="56"/>
      <c r="BM985" s="56"/>
      <c r="BN985" s="56"/>
      <c r="BO985" s="56"/>
      <c r="BP985" s="56"/>
      <c r="BQ985" s="56"/>
      <c r="BR985" s="56"/>
      <c r="BS985" s="56"/>
      <c r="BT985" s="56"/>
      <c r="BU985" s="56"/>
      <c r="BV985" s="56"/>
      <c r="BW985" s="56"/>
      <c r="BX985" s="56"/>
      <c r="BY985" s="56"/>
      <c r="BZ985" s="56"/>
      <c r="CA985" s="56"/>
      <c r="CB985" s="56"/>
      <c r="CC985" s="56"/>
      <c r="CD985" s="56"/>
      <c r="CE985" s="56"/>
      <c r="CF985" s="56"/>
      <c r="CG985" s="56"/>
      <c r="CH985" s="56"/>
      <c r="CI985" s="56"/>
      <c r="CJ985" s="56"/>
      <c r="CK985" s="56"/>
      <c r="CL985" s="56"/>
      <c r="CM985" s="56"/>
      <c r="CN985" s="56"/>
      <c r="CO985" s="56"/>
      <c r="CP985" s="56"/>
      <c r="CQ985" s="56"/>
      <c r="CR985" s="56"/>
      <c r="CS985" s="56"/>
      <c r="CT985" s="56"/>
      <c r="CU985" s="56"/>
      <c r="CV985" s="56"/>
      <c r="CW985" s="56"/>
      <c r="CX985" s="56"/>
      <c r="CY985" s="56"/>
      <c r="CZ985" s="56"/>
      <c r="DA985" s="56"/>
      <c r="DB985" s="56"/>
      <c r="DC985" s="56"/>
      <c r="DD985" s="56"/>
      <c r="DE985" s="56"/>
      <c r="DF985" s="56"/>
      <c r="DG985" s="56"/>
      <c r="DH985" s="56"/>
      <c r="DI985" s="56"/>
      <c r="DJ985" s="56"/>
      <c r="DK985" s="56"/>
      <c r="DL985" s="56"/>
      <c r="DM985" s="56"/>
      <c r="DN985" s="56"/>
      <c r="DO985" s="56"/>
      <c r="DP985" s="56"/>
      <c r="DQ985" s="56"/>
      <c r="DR985" s="56"/>
      <c r="DS985" s="56"/>
      <c r="DT985" s="56"/>
      <c r="DU985" s="56"/>
      <c r="DV985" s="56"/>
      <c r="DW985" s="56"/>
      <c r="DX985" s="56"/>
      <c r="DY985" s="56"/>
      <c r="DZ985" s="56"/>
      <c r="EA985" s="56"/>
      <c r="EB985" s="56"/>
      <c r="EC985" s="56"/>
      <c r="ED985" s="56"/>
      <c r="EE985" s="56"/>
      <c r="EF985" s="56"/>
      <c r="EG985" s="56"/>
      <c r="EH985" s="56"/>
      <c r="EI985" s="56"/>
      <c r="EJ985" s="56"/>
      <c r="EK985" s="56"/>
      <c r="EL985" s="56"/>
      <c r="EM985" s="56"/>
      <c r="EN985" s="56"/>
      <c r="EO985" s="56"/>
      <c r="EP985" s="56"/>
      <c r="EQ985" s="56"/>
      <c r="ER985" s="56"/>
      <c r="ES985" s="56"/>
      <c r="ET985" s="56"/>
      <c r="EU985" s="56"/>
      <c r="EV985" s="56"/>
      <c r="EW985" s="56"/>
      <c r="EX985" s="56"/>
      <c r="EY985" s="56"/>
      <c r="EZ985" s="56"/>
      <c r="FA985" s="56"/>
      <c r="FB985" s="56"/>
      <c r="FC985" s="56"/>
      <c r="FD985" s="56"/>
      <c r="FE985" s="56"/>
      <c r="FF985" s="56"/>
      <c r="FG985" s="56"/>
      <c r="FH985" s="56"/>
      <c r="FI985" s="56"/>
      <c r="FJ985" s="56"/>
      <c r="FK985" s="56"/>
      <c r="FL985" s="56"/>
      <c r="FM985" s="56"/>
      <c r="FN985" s="56"/>
      <c r="FO985" s="56"/>
      <c r="FP985" s="56"/>
      <c r="FQ985" s="56"/>
      <c r="FR985" s="56"/>
      <c r="FS985" s="56"/>
      <c r="FT985" s="56"/>
      <c r="FU985" s="56"/>
      <c r="FV985" s="56"/>
      <c r="FW985" s="56"/>
      <c r="FX985" s="56"/>
      <c r="FY985" s="56"/>
      <c r="FZ985" s="56"/>
      <c r="GA985" s="56"/>
      <c r="GB985" s="56"/>
      <c r="GC985" s="56"/>
      <c r="GD985" s="56"/>
      <c r="GE985" s="56"/>
      <c r="GF985" s="56"/>
    </row>
    <row r="986" spans="1:48" s="18" customFormat="1" ht="17.25" customHeight="1">
      <c r="A986" s="50"/>
      <c r="B986" s="93" t="s">
        <v>669</v>
      </c>
      <c r="C986" s="16"/>
      <c r="D986" s="52"/>
      <c r="E986" s="52"/>
      <c r="F986" s="52"/>
      <c r="G986" s="52"/>
      <c r="H986" s="52"/>
      <c r="I986" s="52"/>
      <c r="J986" s="52"/>
      <c r="K986" s="52"/>
      <c r="L986" s="60">
        <f>SUM(L987:L990)</f>
        <v>3</v>
      </c>
      <c r="M986" s="60">
        <f>SUM(M987:M990)</f>
        <v>8</v>
      </c>
      <c r="N986" s="60">
        <f>SUM(N987:N990)</f>
        <v>9</v>
      </c>
      <c r="O986" s="60">
        <f>SUM(O987:O990)</f>
        <v>1</v>
      </c>
      <c r="P986" s="60" t="str">
        <f>P987</f>
        <v> -</v>
      </c>
      <c r="Q986" s="23"/>
      <c r="R986" s="23"/>
      <c r="S986" s="17"/>
      <c r="T986" s="47"/>
      <c r="U986" s="47"/>
      <c r="V986" s="47"/>
      <c r="W986" s="47"/>
      <c r="X986" s="47"/>
      <c r="Y986" s="47"/>
      <c r="Z986" s="47"/>
      <c r="AA986" s="47"/>
      <c r="AB986" s="47"/>
      <c r="AC986" s="47"/>
      <c r="AD986" s="47"/>
      <c r="AE986" s="47"/>
      <c r="AF986" s="47"/>
      <c r="AG986" s="47"/>
      <c r="AH986" s="47"/>
      <c r="AI986" s="47"/>
      <c r="AJ986" s="47"/>
      <c r="AK986" s="47"/>
      <c r="AL986" s="47"/>
      <c r="AM986" s="47"/>
      <c r="AN986" s="47"/>
      <c r="AO986" s="47"/>
      <c r="AP986" s="47"/>
      <c r="AQ986" s="47"/>
      <c r="AR986" s="47"/>
      <c r="AS986" s="47"/>
      <c r="AT986" s="47"/>
      <c r="AU986" s="47"/>
      <c r="AV986" s="47"/>
    </row>
    <row r="987" spans="1:48" s="27" customFormat="1" ht="17.25" customHeight="1">
      <c r="A987" s="12"/>
      <c r="B987" s="97" t="s">
        <v>448</v>
      </c>
      <c r="C987" s="29" t="s">
        <v>449</v>
      </c>
      <c r="D987" s="51"/>
      <c r="E987" s="51"/>
      <c r="F987" s="51">
        <v>12</v>
      </c>
      <c r="G987" s="51">
        <v>11</v>
      </c>
      <c r="H987" s="51">
        <v>11</v>
      </c>
      <c r="I987" s="51">
        <v>11</v>
      </c>
      <c r="J987" s="51">
        <v>11</v>
      </c>
      <c r="K987" s="51">
        <v>11</v>
      </c>
      <c r="L987" s="40" t="s">
        <v>556</v>
      </c>
      <c r="M987" s="40">
        <v>4</v>
      </c>
      <c r="N987" s="40">
        <v>4</v>
      </c>
      <c r="O987" s="40" t="s">
        <v>556</v>
      </c>
      <c r="P987" s="40" t="s">
        <v>556</v>
      </c>
      <c r="Q987" s="33"/>
      <c r="R987" s="28"/>
      <c r="S987" s="2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</row>
    <row r="988" spans="1:48" s="27" customFormat="1" ht="17.25" customHeight="1">
      <c r="A988" s="12"/>
      <c r="B988" s="97" t="s">
        <v>1316</v>
      </c>
      <c r="C988" s="29" t="s">
        <v>1317</v>
      </c>
      <c r="D988" s="51"/>
      <c r="E988" s="51"/>
      <c r="F988" s="51"/>
      <c r="G988" s="51"/>
      <c r="H988" s="51"/>
      <c r="I988" s="51"/>
      <c r="J988" s="51"/>
      <c r="K988" s="51"/>
      <c r="L988" s="40">
        <v>1</v>
      </c>
      <c r="M988" s="40">
        <v>1</v>
      </c>
      <c r="N988" s="40">
        <v>1</v>
      </c>
      <c r="O988" s="40" t="s">
        <v>556</v>
      </c>
      <c r="P988" s="40" t="s">
        <v>556</v>
      </c>
      <c r="Q988" s="33"/>
      <c r="R988" s="33"/>
      <c r="S988" s="33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</row>
    <row r="989" spans="1:48" s="27" customFormat="1" ht="17.25" customHeight="1">
      <c r="A989" s="12"/>
      <c r="B989" s="97" t="s">
        <v>1321</v>
      </c>
      <c r="C989" s="15" t="s">
        <v>1323</v>
      </c>
      <c r="D989" s="51"/>
      <c r="E989" s="51"/>
      <c r="F989" s="51"/>
      <c r="G989" s="51"/>
      <c r="H989" s="51"/>
      <c r="I989" s="51"/>
      <c r="J989" s="51"/>
      <c r="K989" s="51"/>
      <c r="L989" s="40">
        <v>1</v>
      </c>
      <c r="M989" s="40">
        <v>2</v>
      </c>
      <c r="N989" s="40">
        <v>1</v>
      </c>
      <c r="O989" s="40" t="s">
        <v>556</v>
      </c>
      <c r="P989" s="40" t="s">
        <v>556</v>
      </c>
      <c r="Q989" s="33"/>
      <c r="R989" s="33"/>
      <c r="S989" s="33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</row>
    <row r="990" spans="1:48" s="27" customFormat="1" ht="17.25" customHeight="1">
      <c r="A990" s="12"/>
      <c r="B990" s="97" t="s">
        <v>560</v>
      </c>
      <c r="C990" s="29" t="s">
        <v>1319</v>
      </c>
      <c r="D990" s="51"/>
      <c r="E990" s="51"/>
      <c r="F990" s="51"/>
      <c r="G990" s="51">
        <v>17</v>
      </c>
      <c r="H990" s="51">
        <v>17</v>
      </c>
      <c r="I990" s="51">
        <v>17</v>
      </c>
      <c r="J990" s="51">
        <v>17</v>
      </c>
      <c r="K990" s="51">
        <v>17</v>
      </c>
      <c r="L990" s="40">
        <v>1</v>
      </c>
      <c r="M990" s="40">
        <v>1</v>
      </c>
      <c r="N990" s="40">
        <v>3</v>
      </c>
      <c r="O990" s="40">
        <v>1</v>
      </c>
      <c r="P990" s="40" t="s">
        <v>556</v>
      </c>
      <c r="Q990" s="33"/>
      <c r="R990" s="33"/>
      <c r="S990" s="33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</row>
    <row r="991" spans="1:48" s="18" customFormat="1" ht="18.75" customHeight="1">
      <c r="A991" s="50"/>
      <c r="B991" s="93" t="s">
        <v>670</v>
      </c>
      <c r="C991" s="16"/>
      <c r="D991" s="52"/>
      <c r="E991" s="52"/>
      <c r="F991" s="52"/>
      <c r="G991" s="52"/>
      <c r="H991" s="52"/>
      <c r="I991" s="52"/>
      <c r="J991" s="52"/>
      <c r="K991" s="52"/>
      <c r="L991" s="60" t="str">
        <f>L992</f>
        <v> -</v>
      </c>
      <c r="M991" s="60">
        <f>M992</f>
        <v>1</v>
      </c>
      <c r="N991" s="60"/>
      <c r="O991" s="60" t="str">
        <f>O992</f>
        <v> -</v>
      </c>
      <c r="P991" s="60" t="str">
        <f>P992</f>
        <v> -</v>
      </c>
      <c r="Q991" s="23"/>
      <c r="R991" s="23"/>
      <c r="S991" s="17"/>
      <c r="T991" s="47"/>
      <c r="U991" s="47"/>
      <c r="V991" s="47"/>
      <c r="W991" s="47"/>
      <c r="X991" s="47"/>
      <c r="Y991" s="47"/>
      <c r="Z991" s="47"/>
      <c r="AA991" s="47"/>
      <c r="AB991" s="47"/>
      <c r="AC991" s="47"/>
      <c r="AD991" s="47"/>
      <c r="AE991" s="47"/>
      <c r="AF991" s="47"/>
      <c r="AG991" s="47"/>
      <c r="AH991" s="47"/>
      <c r="AI991" s="47"/>
      <c r="AJ991" s="47"/>
      <c r="AK991" s="47"/>
      <c r="AL991" s="47"/>
      <c r="AM991" s="47"/>
      <c r="AN991" s="47"/>
      <c r="AO991" s="47"/>
      <c r="AP991" s="47"/>
      <c r="AQ991" s="47"/>
      <c r="AR991" s="47"/>
      <c r="AS991" s="47"/>
      <c r="AT991" s="47"/>
      <c r="AU991" s="47"/>
      <c r="AV991" s="47"/>
    </row>
    <row r="992" spans="1:48" s="27" customFormat="1" ht="15.75" customHeight="1">
      <c r="A992" s="12"/>
      <c r="B992" s="97" t="s">
        <v>566</v>
      </c>
      <c r="C992" s="15" t="s">
        <v>567</v>
      </c>
      <c r="D992" s="51"/>
      <c r="E992" s="51"/>
      <c r="F992" s="51"/>
      <c r="G992" s="51"/>
      <c r="H992" s="51"/>
      <c r="I992" s="51"/>
      <c r="J992" s="51"/>
      <c r="K992" s="51"/>
      <c r="L992" s="40" t="s">
        <v>556</v>
      </c>
      <c r="M992" s="40">
        <v>1</v>
      </c>
      <c r="N992" s="40" t="s">
        <v>556</v>
      </c>
      <c r="O992" s="40" t="s">
        <v>556</v>
      </c>
      <c r="P992" s="40" t="s">
        <v>556</v>
      </c>
      <c r="Q992" s="33"/>
      <c r="R992" s="28"/>
      <c r="S992" s="2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</row>
    <row r="993" spans="1:48" s="18" customFormat="1" ht="17.25" customHeight="1">
      <c r="A993" s="50"/>
      <c r="B993" s="93" t="s">
        <v>37</v>
      </c>
      <c r="C993" s="16"/>
      <c r="D993" s="52"/>
      <c r="E993" s="51"/>
      <c r="F993" s="52"/>
      <c r="G993" s="52"/>
      <c r="H993" s="52"/>
      <c r="I993" s="52"/>
      <c r="J993" s="52"/>
      <c r="K993" s="52"/>
      <c r="L993" s="60" t="str">
        <f>L994</f>
        <v> -</v>
      </c>
      <c r="M993" s="60">
        <f>M994</f>
        <v>1</v>
      </c>
      <c r="N993" s="60" t="str">
        <f>N994</f>
        <v> -</v>
      </c>
      <c r="O993" s="60" t="str">
        <f>O994</f>
        <v> -</v>
      </c>
      <c r="P993" s="60" t="str">
        <f>P994</f>
        <v> -</v>
      </c>
      <c r="T993" s="47"/>
      <c r="U993" s="47"/>
      <c r="V993" s="47"/>
      <c r="W993" s="47"/>
      <c r="X993" s="47"/>
      <c r="Y993" s="47"/>
      <c r="Z993" s="47"/>
      <c r="AA993" s="47"/>
      <c r="AB993" s="47"/>
      <c r="AC993" s="47"/>
      <c r="AD993" s="47"/>
      <c r="AE993" s="47"/>
      <c r="AF993" s="47"/>
      <c r="AG993" s="47"/>
      <c r="AH993" s="47"/>
      <c r="AI993" s="47"/>
      <c r="AJ993" s="47"/>
      <c r="AK993" s="47"/>
      <c r="AL993" s="47"/>
      <c r="AM993" s="47"/>
      <c r="AN993" s="47"/>
      <c r="AO993" s="47"/>
      <c r="AP993" s="47"/>
      <c r="AQ993" s="47"/>
      <c r="AR993" s="47"/>
      <c r="AS993" s="47"/>
      <c r="AT993" s="47"/>
      <c r="AU993" s="47"/>
      <c r="AV993" s="47"/>
    </row>
    <row r="994" spans="1:48" s="27" customFormat="1" ht="17.25" customHeight="1">
      <c r="A994" s="12"/>
      <c r="B994" s="109" t="s">
        <v>114</v>
      </c>
      <c r="C994" s="66" t="s">
        <v>113</v>
      </c>
      <c r="D994" s="51"/>
      <c r="E994" s="51"/>
      <c r="F994" s="51"/>
      <c r="G994" s="51">
        <v>1</v>
      </c>
      <c r="H994" s="51">
        <v>1</v>
      </c>
      <c r="I994" s="51">
        <v>1</v>
      </c>
      <c r="J994" s="51">
        <v>1</v>
      </c>
      <c r="K994" s="51">
        <v>1</v>
      </c>
      <c r="L994" s="40" t="s">
        <v>556</v>
      </c>
      <c r="M994" s="40">
        <v>1</v>
      </c>
      <c r="N994" s="40" t="s">
        <v>556</v>
      </c>
      <c r="O994" s="40" t="s">
        <v>556</v>
      </c>
      <c r="P994" s="40" t="s">
        <v>556</v>
      </c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</row>
    <row r="995" spans="1:188" s="57" customFormat="1" ht="17.25" customHeight="1">
      <c r="A995" s="13">
        <v>41</v>
      </c>
      <c r="B995" s="92" t="s">
        <v>285</v>
      </c>
      <c r="C995" s="45"/>
      <c r="D995" s="44">
        <v>130</v>
      </c>
      <c r="E995" s="44"/>
      <c r="F995" s="44">
        <v>63</v>
      </c>
      <c r="G995" s="44">
        <v>60</v>
      </c>
      <c r="H995" s="44">
        <v>60</v>
      </c>
      <c r="I995" s="44">
        <v>60</v>
      </c>
      <c r="J995" s="44">
        <v>60</v>
      </c>
      <c r="K995" s="44">
        <v>60</v>
      </c>
      <c r="L995" s="44">
        <f>L996</f>
        <v>7</v>
      </c>
      <c r="M995" s="44">
        <f>M996</f>
        <v>5</v>
      </c>
      <c r="N995" s="44">
        <f>N996</f>
        <v>5</v>
      </c>
      <c r="O995" s="44">
        <f>O996</f>
        <v>5</v>
      </c>
      <c r="P995" s="44">
        <f>P996</f>
        <v>4</v>
      </c>
      <c r="Q995" s="54" t="s">
        <v>649</v>
      </c>
      <c r="R995" s="54">
        <v>1</v>
      </c>
      <c r="S995" s="55" t="s">
        <v>1338</v>
      </c>
      <c r="T995" s="56"/>
      <c r="U995" s="56"/>
      <c r="V995" s="56"/>
      <c r="W995" s="56"/>
      <c r="X995" s="56"/>
      <c r="Y995" s="56"/>
      <c r="Z995" s="56"/>
      <c r="AA995" s="56"/>
      <c r="AB995" s="56"/>
      <c r="AC995" s="56"/>
      <c r="AD995" s="56"/>
      <c r="AE995" s="56"/>
      <c r="AF995" s="56"/>
      <c r="AG995" s="56"/>
      <c r="AH995" s="56"/>
      <c r="AI995" s="56"/>
      <c r="AJ995" s="56"/>
      <c r="AK995" s="56"/>
      <c r="AL995" s="56"/>
      <c r="AM995" s="56"/>
      <c r="AN995" s="56"/>
      <c r="AO995" s="56"/>
      <c r="AP995" s="56"/>
      <c r="AQ995" s="56"/>
      <c r="AR995" s="56"/>
      <c r="AS995" s="56"/>
      <c r="AT995" s="56"/>
      <c r="AU995" s="56"/>
      <c r="AV995" s="56"/>
      <c r="AW995" s="56"/>
      <c r="AX995" s="56"/>
      <c r="AY995" s="56"/>
      <c r="AZ995" s="56"/>
      <c r="BA995" s="56"/>
      <c r="BB995" s="56"/>
      <c r="BC995" s="56"/>
      <c r="BD995" s="56"/>
      <c r="BE995" s="56"/>
      <c r="BF995" s="56"/>
      <c r="BG995" s="56"/>
      <c r="BH995" s="56"/>
      <c r="BI995" s="56"/>
      <c r="BJ995" s="56"/>
      <c r="BK995" s="56"/>
      <c r="BL995" s="56"/>
      <c r="BM995" s="56"/>
      <c r="BN995" s="56"/>
      <c r="BO995" s="56"/>
      <c r="BP995" s="56"/>
      <c r="BQ995" s="56"/>
      <c r="BR995" s="56"/>
      <c r="BS995" s="56"/>
      <c r="BT995" s="56"/>
      <c r="BU995" s="56"/>
      <c r="BV995" s="56"/>
      <c r="BW995" s="56"/>
      <c r="BX995" s="56"/>
      <c r="BY995" s="56"/>
      <c r="BZ995" s="56"/>
      <c r="CA995" s="56"/>
      <c r="CB995" s="56"/>
      <c r="CC995" s="56"/>
      <c r="CD995" s="56"/>
      <c r="CE995" s="56"/>
      <c r="CF995" s="56"/>
      <c r="CG995" s="56"/>
      <c r="CH995" s="56"/>
      <c r="CI995" s="56"/>
      <c r="CJ995" s="56"/>
      <c r="CK995" s="56"/>
      <c r="CL995" s="56"/>
      <c r="CM995" s="56"/>
      <c r="CN995" s="56"/>
      <c r="CO995" s="56"/>
      <c r="CP995" s="56"/>
      <c r="CQ995" s="56"/>
      <c r="CR995" s="56"/>
      <c r="CS995" s="56"/>
      <c r="CT995" s="56"/>
      <c r="CU995" s="56"/>
      <c r="CV995" s="56"/>
      <c r="CW995" s="56"/>
      <c r="CX995" s="56"/>
      <c r="CY995" s="56"/>
      <c r="CZ995" s="56"/>
      <c r="DA995" s="56"/>
      <c r="DB995" s="56"/>
      <c r="DC995" s="56"/>
      <c r="DD995" s="56"/>
      <c r="DE995" s="56"/>
      <c r="DF995" s="56"/>
      <c r="DG995" s="56"/>
      <c r="DH995" s="56"/>
      <c r="DI995" s="56"/>
      <c r="DJ995" s="56"/>
      <c r="DK995" s="56"/>
      <c r="DL995" s="56"/>
      <c r="DM995" s="56"/>
      <c r="DN995" s="56"/>
      <c r="DO995" s="56"/>
      <c r="DP995" s="56"/>
      <c r="DQ995" s="56"/>
      <c r="DR995" s="56"/>
      <c r="DS995" s="56"/>
      <c r="DT995" s="56"/>
      <c r="DU995" s="56"/>
      <c r="DV995" s="56"/>
      <c r="DW995" s="56"/>
      <c r="DX995" s="56"/>
      <c r="DY995" s="56"/>
      <c r="DZ995" s="56"/>
      <c r="EA995" s="56"/>
      <c r="EB995" s="56"/>
      <c r="EC995" s="56"/>
      <c r="ED995" s="56"/>
      <c r="EE995" s="56"/>
      <c r="EF995" s="56"/>
      <c r="EG995" s="56"/>
      <c r="EH995" s="56"/>
      <c r="EI995" s="56"/>
      <c r="EJ995" s="56"/>
      <c r="EK995" s="56"/>
      <c r="EL995" s="56"/>
      <c r="EM995" s="56"/>
      <c r="EN995" s="56"/>
      <c r="EO995" s="56"/>
      <c r="EP995" s="56"/>
      <c r="EQ995" s="56"/>
      <c r="ER995" s="56"/>
      <c r="ES995" s="56"/>
      <c r="ET995" s="56"/>
      <c r="EU995" s="56"/>
      <c r="EV995" s="56"/>
      <c r="EW995" s="56"/>
      <c r="EX995" s="56"/>
      <c r="EY995" s="56"/>
      <c r="EZ995" s="56"/>
      <c r="FA995" s="56"/>
      <c r="FB995" s="56"/>
      <c r="FC995" s="56"/>
      <c r="FD995" s="56"/>
      <c r="FE995" s="56"/>
      <c r="FF995" s="56"/>
      <c r="FG995" s="56"/>
      <c r="FH995" s="56"/>
      <c r="FI995" s="56"/>
      <c r="FJ995" s="56"/>
      <c r="FK995" s="56"/>
      <c r="FL995" s="56"/>
      <c r="FM995" s="56"/>
      <c r="FN995" s="56"/>
      <c r="FO995" s="56"/>
      <c r="FP995" s="56"/>
      <c r="FQ995" s="56"/>
      <c r="FR995" s="56"/>
      <c r="FS995" s="56"/>
      <c r="FT995" s="56"/>
      <c r="FU995" s="56"/>
      <c r="FV995" s="56"/>
      <c r="FW995" s="56"/>
      <c r="FX995" s="56"/>
      <c r="FY995" s="56"/>
      <c r="FZ995" s="56"/>
      <c r="GA995" s="56"/>
      <c r="GB995" s="56"/>
      <c r="GC995" s="56"/>
      <c r="GD995" s="56"/>
      <c r="GE995" s="56"/>
      <c r="GF995" s="56"/>
    </row>
    <row r="996" spans="1:48" s="18" customFormat="1" ht="17.25" customHeight="1">
      <c r="A996" s="50"/>
      <c r="B996" s="93" t="s">
        <v>670</v>
      </c>
      <c r="C996" s="16"/>
      <c r="D996" s="52"/>
      <c r="E996" s="52"/>
      <c r="F996" s="52"/>
      <c r="G996" s="52"/>
      <c r="H996" s="52"/>
      <c r="I996" s="52"/>
      <c r="J996" s="52"/>
      <c r="K996" s="52"/>
      <c r="L996" s="60">
        <f>SUM(L997:L1001)</f>
        <v>7</v>
      </c>
      <c r="M996" s="60">
        <f>SUM(M997:M1001)</f>
        <v>5</v>
      </c>
      <c r="N996" s="60">
        <f>SUM(N997:N1001)</f>
        <v>5</v>
      </c>
      <c r="O996" s="60">
        <f>SUM(O997:O1001)</f>
        <v>5</v>
      </c>
      <c r="P996" s="60">
        <f>SUM(P997:P1001)</f>
        <v>4</v>
      </c>
      <c r="Q996" s="23"/>
      <c r="R996" s="23"/>
      <c r="S996" s="17"/>
      <c r="T996" s="47"/>
      <c r="U996" s="47"/>
      <c r="V996" s="47"/>
      <c r="W996" s="47"/>
      <c r="X996" s="47"/>
      <c r="Y996" s="47"/>
      <c r="Z996" s="47"/>
      <c r="AA996" s="47"/>
      <c r="AB996" s="47"/>
      <c r="AC996" s="47"/>
      <c r="AD996" s="47"/>
      <c r="AE996" s="47"/>
      <c r="AF996" s="47"/>
      <c r="AG996" s="47"/>
      <c r="AH996" s="47"/>
      <c r="AI996" s="47"/>
      <c r="AJ996" s="47"/>
      <c r="AK996" s="47"/>
      <c r="AL996" s="47"/>
      <c r="AM996" s="47"/>
      <c r="AN996" s="47"/>
      <c r="AO996" s="47"/>
      <c r="AP996" s="47"/>
      <c r="AQ996" s="47"/>
      <c r="AR996" s="47"/>
      <c r="AS996" s="47"/>
      <c r="AT996" s="47"/>
      <c r="AU996" s="47"/>
      <c r="AV996" s="47"/>
    </row>
    <row r="997" spans="1:48" s="27" customFormat="1" ht="32.25" customHeight="1">
      <c r="A997" s="12"/>
      <c r="B997" s="97" t="s">
        <v>280</v>
      </c>
      <c r="C997" s="66" t="s">
        <v>281</v>
      </c>
      <c r="D997" s="51"/>
      <c r="E997" s="51"/>
      <c r="F997" s="51">
        <v>12</v>
      </c>
      <c r="G997" s="51">
        <v>11</v>
      </c>
      <c r="H997" s="51">
        <v>11</v>
      </c>
      <c r="I997" s="51">
        <v>11</v>
      </c>
      <c r="J997" s="51">
        <v>11</v>
      </c>
      <c r="K997" s="51">
        <v>11</v>
      </c>
      <c r="L997" s="40">
        <v>3</v>
      </c>
      <c r="M997" s="40">
        <v>2</v>
      </c>
      <c r="N997" s="40">
        <v>2</v>
      </c>
      <c r="O997" s="40">
        <v>2</v>
      </c>
      <c r="P997" s="40">
        <v>1</v>
      </c>
      <c r="Q997" s="33"/>
      <c r="R997" s="28"/>
      <c r="S997" s="2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</row>
    <row r="998" spans="1:48" s="27" customFormat="1" ht="17.25" customHeight="1">
      <c r="A998" s="12"/>
      <c r="B998" s="111" t="s">
        <v>422</v>
      </c>
      <c r="C998" s="15" t="s">
        <v>423</v>
      </c>
      <c r="D998" s="51"/>
      <c r="E998" s="51"/>
      <c r="F998" s="51"/>
      <c r="G998" s="51"/>
      <c r="H998" s="51"/>
      <c r="I998" s="51"/>
      <c r="J998" s="51"/>
      <c r="K998" s="51"/>
      <c r="L998" s="40">
        <v>1</v>
      </c>
      <c r="M998" s="40">
        <v>1</v>
      </c>
      <c r="N998" s="40">
        <v>1</v>
      </c>
      <c r="O998" s="40">
        <v>1</v>
      </c>
      <c r="P998" s="40">
        <v>1</v>
      </c>
      <c r="Q998" s="33"/>
      <c r="R998" s="33"/>
      <c r="S998" s="33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</row>
    <row r="999" spans="1:48" s="27" customFormat="1" ht="17.25" customHeight="1">
      <c r="A999" s="12"/>
      <c r="B999" s="97" t="s">
        <v>561</v>
      </c>
      <c r="C999" s="66" t="s">
        <v>804</v>
      </c>
      <c r="D999" s="51"/>
      <c r="E999" s="51"/>
      <c r="F999" s="51"/>
      <c r="G999" s="51"/>
      <c r="H999" s="51"/>
      <c r="I999" s="51"/>
      <c r="J999" s="51"/>
      <c r="K999" s="51"/>
      <c r="L999" s="40">
        <v>1</v>
      </c>
      <c r="M999" s="40">
        <v>1</v>
      </c>
      <c r="N999" s="40">
        <v>1</v>
      </c>
      <c r="O999" s="40">
        <v>1</v>
      </c>
      <c r="P999" s="40">
        <v>1</v>
      </c>
      <c r="Q999" s="33"/>
      <c r="R999" s="33"/>
      <c r="S999" s="33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</row>
    <row r="1000" spans="1:48" s="27" customFormat="1" ht="17.25" customHeight="1">
      <c r="A1000" s="12"/>
      <c r="B1000" s="97" t="s">
        <v>273</v>
      </c>
      <c r="C1000" s="29" t="s">
        <v>274</v>
      </c>
      <c r="D1000" s="51"/>
      <c r="E1000" s="51"/>
      <c r="F1000" s="51"/>
      <c r="G1000" s="51">
        <v>17</v>
      </c>
      <c r="H1000" s="51">
        <v>17</v>
      </c>
      <c r="I1000" s="51">
        <v>17</v>
      </c>
      <c r="J1000" s="51">
        <v>17</v>
      </c>
      <c r="K1000" s="51">
        <v>17</v>
      </c>
      <c r="L1000" s="40">
        <v>1</v>
      </c>
      <c r="M1000" s="40">
        <v>1</v>
      </c>
      <c r="N1000" s="40">
        <v>1</v>
      </c>
      <c r="O1000" s="40">
        <v>1</v>
      </c>
      <c r="P1000" s="40">
        <v>1</v>
      </c>
      <c r="Q1000" s="33"/>
      <c r="R1000" s="33"/>
      <c r="S1000" s="33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</row>
    <row r="1001" spans="1:48" s="27" customFormat="1" ht="17.25" customHeight="1">
      <c r="A1001" s="12"/>
      <c r="B1001" s="97" t="s">
        <v>286</v>
      </c>
      <c r="C1001" s="29" t="s">
        <v>287</v>
      </c>
      <c r="D1001" s="51"/>
      <c r="E1001" s="51"/>
      <c r="F1001" s="51"/>
      <c r="G1001" s="51"/>
      <c r="H1001" s="51"/>
      <c r="I1001" s="51"/>
      <c r="J1001" s="51"/>
      <c r="K1001" s="51"/>
      <c r="L1001" s="40">
        <v>1</v>
      </c>
      <c r="M1001" s="40" t="s">
        <v>556</v>
      </c>
      <c r="N1001" s="40" t="s">
        <v>556</v>
      </c>
      <c r="O1001" s="40" t="s">
        <v>556</v>
      </c>
      <c r="P1001" s="40" t="s">
        <v>556</v>
      </c>
      <c r="Q1001" s="33"/>
      <c r="R1001" s="33"/>
      <c r="S1001" s="33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</row>
    <row r="1002" spans="1:188" s="57" customFormat="1" ht="18" customHeight="1">
      <c r="A1002" s="13">
        <v>42</v>
      </c>
      <c r="B1002" s="92" t="s">
        <v>282</v>
      </c>
      <c r="C1002" s="45"/>
      <c r="D1002" s="44">
        <v>48</v>
      </c>
      <c r="E1002" s="44">
        <v>5</v>
      </c>
      <c r="F1002" s="44">
        <v>73</v>
      </c>
      <c r="G1002" s="44">
        <v>73</v>
      </c>
      <c r="H1002" s="44">
        <v>79</v>
      </c>
      <c r="I1002" s="44">
        <v>81</v>
      </c>
      <c r="J1002" s="44"/>
      <c r="K1002" s="44">
        <v>83</v>
      </c>
      <c r="L1002" s="44">
        <f>L1003</f>
        <v>1</v>
      </c>
      <c r="M1002" s="44">
        <f aca="true" t="shared" si="37" ref="M1002:P1003">M1003</f>
        <v>1</v>
      </c>
      <c r="N1002" s="44">
        <f t="shared" si="37"/>
        <v>1</v>
      </c>
      <c r="O1002" s="44">
        <f t="shared" si="37"/>
        <v>1</v>
      </c>
      <c r="P1002" s="44">
        <f t="shared" si="37"/>
        <v>1</v>
      </c>
      <c r="Q1002" s="54" t="s">
        <v>649</v>
      </c>
      <c r="R1002" s="54">
        <v>2</v>
      </c>
      <c r="S1002" s="55" t="s">
        <v>1342</v>
      </c>
      <c r="T1002" s="56"/>
      <c r="U1002" s="56"/>
      <c r="V1002" s="56"/>
      <c r="W1002" s="56"/>
      <c r="X1002" s="56"/>
      <c r="Y1002" s="56"/>
      <c r="Z1002" s="56"/>
      <c r="AA1002" s="56"/>
      <c r="AB1002" s="56"/>
      <c r="AC1002" s="56"/>
      <c r="AD1002" s="56"/>
      <c r="AE1002" s="56"/>
      <c r="AF1002" s="56"/>
      <c r="AG1002" s="56"/>
      <c r="AH1002" s="56"/>
      <c r="AI1002" s="56"/>
      <c r="AJ1002" s="56"/>
      <c r="AK1002" s="56"/>
      <c r="AL1002" s="56"/>
      <c r="AM1002" s="56"/>
      <c r="AN1002" s="56"/>
      <c r="AO1002" s="56"/>
      <c r="AP1002" s="56"/>
      <c r="AQ1002" s="56"/>
      <c r="AR1002" s="56"/>
      <c r="AS1002" s="56"/>
      <c r="AT1002" s="56"/>
      <c r="AU1002" s="56"/>
      <c r="AV1002" s="56"/>
      <c r="AW1002" s="56"/>
      <c r="AX1002" s="56"/>
      <c r="AY1002" s="56"/>
      <c r="AZ1002" s="56"/>
      <c r="BA1002" s="56"/>
      <c r="BB1002" s="56"/>
      <c r="BC1002" s="56"/>
      <c r="BD1002" s="56"/>
      <c r="BE1002" s="56"/>
      <c r="BF1002" s="56"/>
      <c r="BG1002" s="56"/>
      <c r="BH1002" s="56"/>
      <c r="BI1002" s="56"/>
      <c r="BJ1002" s="56"/>
      <c r="BK1002" s="56"/>
      <c r="BL1002" s="56"/>
      <c r="BM1002" s="56"/>
      <c r="BN1002" s="56"/>
      <c r="BO1002" s="56"/>
      <c r="BP1002" s="56"/>
      <c r="BQ1002" s="56"/>
      <c r="BR1002" s="56"/>
      <c r="BS1002" s="56"/>
      <c r="BT1002" s="56"/>
      <c r="BU1002" s="56"/>
      <c r="BV1002" s="56"/>
      <c r="BW1002" s="56"/>
      <c r="BX1002" s="56"/>
      <c r="BY1002" s="56"/>
      <c r="BZ1002" s="56"/>
      <c r="CA1002" s="56"/>
      <c r="CB1002" s="56"/>
      <c r="CC1002" s="56"/>
      <c r="CD1002" s="56"/>
      <c r="CE1002" s="56"/>
      <c r="CF1002" s="56"/>
      <c r="CG1002" s="56"/>
      <c r="CH1002" s="56"/>
      <c r="CI1002" s="56"/>
      <c r="CJ1002" s="56"/>
      <c r="CK1002" s="56"/>
      <c r="CL1002" s="56"/>
      <c r="CM1002" s="56"/>
      <c r="CN1002" s="56"/>
      <c r="CO1002" s="56"/>
      <c r="CP1002" s="56"/>
      <c r="CQ1002" s="56"/>
      <c r="CR1002" s="56"/>
      <c r="CS1002" s="56"/>
      <c r="CT1002" s="56"/>
      <c r="CU1002" s="56"/>
      <c r="CV1002" s="56"/>
      <c r="CW1002" s="56"/>
      <c r="CX1002" s="56"/>
      <c r="CY1002" s="56"/>
      <c r="CZ1002" s="56"/>
      <c r="DA1002" s="56"/>
      <c r="DB1002" s="56"/>
      <c r="DC1002" s="56"/>
      <c r="DD1002" s="56"/>
      <c r="DE1002" s="56"/>
      <c r="DF1002" s="56"/>
      <c r="DG1002" s="56"/>
      <c r="DH1002" s="56"/>
      <c r="DI1002" s="56"/>
      <c r="DJ1002" s="56"/>
      <c r="DK1002" s="56"/>
      <c r="DL1002" s="56"/>
      <c r="DM1002" s="56"/>
      <c r="DN1002" s="56"/>
      <c r="DO1002" s="56"/>
      <c r="DP1002" s="56"/>
      <c r="DQ1002" s="56"/>
      <c r="DR1002" s="56"/>
      <c r="DS1002" s="56"/>
      <c r="DT1002" s="56"/>
      <c r="DU1002" s="56"/>
      <c r="DV1002" s="56"/>
      <c r="DW1002" s="56"/>
      <c r="DX1002" s="56"/>
      <c r="DY1002" s="56"/>
      <c r="DZ1002" s="56"/>
      <c r="EA1002" s="56"/>
      <c r="EB1002" s="56"/>
      <c r="EC1002" s="56"/>
      <c r="ED1002" s="56"/>
      <c r="EE1002" s="56"/>
      <c r="EF1002" s="56"/>
      <c r="EG1002" s="56"/>
      <c r="EH1002" s="56"/>
      <c r="EI1002" s="56"/>
      <c r="EJ1002" s="56"/>
      <c r="EK1002" s="56"/>
      <c r="EL1002" s="56"/>
      <c r="EM1002" s="56"/>
      <c r="EN1002" s="56"/>
      <c r="EO1002" s="56"/>
      <c r="EP1002" s="56"/>
      <c r="EQ1002" s="56"/>
      <c r="ER1002" s="56"/>
      <c r="ES1002" s="56"/>
      <c r="ET1002" s="56"/>
      <c r="EU1002" s="56"/>
      <c r="EV1002" s="56"/>
      <c r="EW1002" s="56"/>
      <c r="EX1002" s="56"/>
      <c r="EY1002" s="56"/>
      <c r="EZ1002" s="56"/>
      <c r="FA1002" s="56"/>
      <c r="FB1002" s="56"/>
      <c r="FC1002" s="56"/>
      <c r="FD1002" s="56"/>
      <c r="FE1002" s="56"/>
      <c r="FF1002" s="56"/>
      <c r="FG1002" s="56"/>
      <c r="FH1002" s="56"/>
      <c r="FI1002" s="56"/>
      <c r="FJ1002" s="56"/>
      <c r="FK1002" s="56"/>
      <c r="FL1002" s="56"/>
      <c r="FM1002" s="56"/>
      <c r="FN1002" s="56"/>
      <c r="FO1002" s="56"/>
      <c r="FP1002" s="56"/>
      <c r="FQ1002" s="56"/>
      <c r="FR1002" s="56"/>
      <c r="FS1002" s="56"/>
      <c r="FT1002" s="56"/>
      <c r="FU1002" s="56"/>
      <c r="FV1002" s="56"/>
      <c r="FW1002" s="56"/>
      <c r="FX1002" s="56"/>
      <c r="FY1002" s="56"/>
      <c r="FZ1002" s="56"/>
      <c r="GA1002" s="56"/>
      <c r="GB1002" s="56"/>
      <c r="GC1002" s="56"/>
      <c r="GD1002" s="56"/>
      <c r="GE1002" s="56"/>
      <c r="GF1002" s="56"/>
    </row>
    <row r="1003" spans="1:48" s="18" customFormat="1" ht="18" customHeight="1">
      <c r="A1003" s="50"/>
      <c r="B1003" s="93" t="s">
        <v>670</v>
      </c>
      <c r="C1003" s="16"/>
      <c r="D1003" s="52"/>
      <c r="E1003" s="52"/>
      <c r="F1003" s="52"/>
      <c r="G1003" s="52"/>
      <c r="H1003" s="52"/>
      <c r="I1003" s="52"/>
      <c r="J1003" s="52"/>
      <c r="K1003" s="52"/>
      <c r="L1003" s="60">
        <f>L1004</f>
        <v>1</v>
      </c>
      <c r="M1003" s="60">
        <f t="shared" si="37"/>
        <v>1</v>
      </c>
      <c r="N1003" s="60">
        <f t="shared" si="37"/>
        <v>1</v>
      </c>
      <c r="O1003" s="60">
        <f t="shared" si="37"/>
        <v>1</v>
      </c>
      <c r="P1003" s="60">
        <f t="shared" si="37"/>
        <v>1</v>
      </c>
      <c r="T1003" s="47"/>
      <c r="U1003" s="47"/>
      <c r="V1003" s="47"/>
      <c r="W1003" s="47"/>
      <c r="X1003" s="47"/>
      <c r="Y1003" s="47"/>
      <c r="Z1003" s="47"/>
      <c r="AA1003" s="47"/>
      <c r="AB1003" s="47"/>
      <c r="AC1003" s="47"/>
      <c r="AD1003" s="47"/>
      <c r="AE1003" s="47"/>
      <c r="AF1003" s="47"/>
      <c r="AG1003" s="47"/>
      <c r="AH1003" s="47"/>
      <c r="AI1003" s="47"/>
      <c r="AJ1003" s="47"/>
      <c r="AK1003" s="47"/>
      <c r="AL1003" s="47"/>
      <c r="AM1003" s="47"/>
      <c r="AN1003" s="47"/>
      <c r="AO1003" s="47"/>
      <c r="AP1003" s="47"/>
      <c r="AQ1003" s="47"/>
      <c r="AR1003" s="47"/>
      <c r="AS1003" s="47"/>
      <c r="AT1003" s="47"/>
      <c r="AU1003" s="47"/>
      <c r="AV1003" s="47"/>
    </row>
    <row r="1004" spans="1:48" s="27" customFormat="1" ht="15.75" customHeight="1">
      <c r="A1004" s="12"/>
      <c r="B1004" s="111" t="s">
        <v>422</v>
      </c>
      <c r="C1004" s="15" t="s">
        <v>423</v>
      </c>
      <c r="D1004" s="51"/>
      <c r="E1004" s="51"/>
      <c r="F1004" s="51">
        <v>3</v>
      </c>
      <c r="G1004" s="51">
        <v>2</v>
      </c>
      <c r="H1004" s="51">
        <v>3</v>
      </c>
      <c r="I1004" s="51">
        <v>3</v>
      </c>
      <c r="J1004" s="51"/>
      <c r="K1004" s="51">
        <v>3</v>
      </c>
      <c r="L1004" s="40">
        <v>1</v>
      </c>
      <c r="M1004" s="40">
        <v>1</v>
      </c>
      <c r="N1004" s="40">
        <v>1</v>
      </c>
      <c r="O1004" s="40">
        <v>1</v>
      </c>
      <c r="P1004" s="40">
        <v>1</v>
      </c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</row>
    <row r="1005" spans="1:188" s="57" customFormat="1" ht="18" customHeight="1">
      <c r="A1005" s="13">
        <v>43</v>
      </c>
      <c r="B1005" s="92" t="s">
        <v>290</v>
      </c>
      <c r="C1005" s="45"/>
      <c r="D1005" s="44"/>
      <c r="E1005" s="44"/>
      <c r="F1005" s="44">
        <v>73</v>
      </c>
      <c r="G1005" s="44">
        <v>73</v>
      </c>
      <c r="H1005" s="44">
        <v>79</v>
      </c>
      <c r="I1005" s="44">
        <v>81</v>
      </c>
      <c r="J1005" s="44"/>
      <c r="K1005" s="44">
        <v>83</v>
      </c>
      <c r="L1005" s="44">
        <f aca="true" t="shared" si="38" ref="L1005:P1006">L1006</f>
        <v>1</v>
      </c>
      <c r="M1005" s="44">
        <f t="shared" si="38"/>
        <v>1</v>
      </c>
      <c r="N1005" s="44">
        <f t="shared" si="38"/>
        <v>1</v>
      </c>
      <c r="O1005" s="44">
        <f t="shared" si="38"/>
        <v>1</v>
      </c>
      <c r="P1005" s="44">
        <f t="shared" si="38"/>
        <v>1</v>
      </c>
      <c r="Q1005" s="54" t="s">
        <v>649</v>
      </c>
      <c r="R1005" s="54">
        <v>2</v>
      </c>
      <c r="S1005" s="55" t="s">
        <v>1342</v>
      </c>
      <c r="T1005" s="56"/>
      <c r="U1005" s="56"/>
      <c r="V1005" s="56"/>
      <c r="W1005" s="56"/>
      <c r="X1005" s="56"/>
      <c r="Y1005" s="56"/>
      <c r="Z1005" s="56"/>
      <c r="AA1005" s="56"/>
      <c r="AB1005" s="56"/>
      <c r="AC1005" s="56"/>
      <c r="AD1005" s="56"/>
      <c r="AE1005" s="56"/>
      <c r="AF1005" s="56"/>
      <c r="AG1005" s="56"/>
      <c r="AH1005" s="56"/>
      <c r="AI1005" s="56"/>
      <c r="AJ1005" s="56"/>
      <c r="AK1005" s="56"/>
      <c r="AL1005" s="56"/>
      <c r="AM1005" s="56"/>
      <c r="AN1005" s="56"/>
      <c r="AO1005" s="56"/>
      <c r="AP1005" s="56"/>
      <c r="AQ1005" s="56"/>
      <c r="AR1005" s="56"/>
      <c r="AS1005" s="56"/>
      <c r="AT1005" s="56"/>
      <c r="AU1005" s="56"/>
      <c r="AV1005" s="56"/>
      <c r="AW1005" s="56"/>
      <c r="AX1005" s="56"/>
      <c r="AY1005" s="56"/>
      <c r="AZ1005" s="56"/>
      <c r="BA1005" s="56"/>
      <c r="BB1005" s="56"/>
      <c r="BC1005" s="56"/>
      <c r="BD1005" s="56"/>
      <c r="BE1005" s="56"/>
      <c r="BF1005" s="56"/>
      <c r="BG1005" s="56"/>
      <c r="BH1005" s="56"/>
      <c r="BI1005" s="56"/>
      <c r="BJ1005" s="56"/>
      <c r="BK1005" s="56"/>
      <c r="BL1005" s="56"/>
      <c r="BM1005" s="56"/>
      <c r="BN1005" s="56"/>
      <c r="BO1005" s="56"/>
      <c r="BP1005" s="56"/>
      <c r="BQ1005" s="56"/>
      <c r="BR1005" s="56"/>
      <c r="BS1005" s="56"/>
      <c r="BT1005" s="56"/>
      <c r="BU1005" s="56"/>
      <c r="BV1005" s="56"/>
      <c r="BW1005" s="56"/>
      <c r="BX1005" s="56"/>
      <c r="BY1005" s="56"/>
      <c r="BZ1005" s="56"/>
      <c r="CA1005" s="56"/>
      <c r="CB1005" s="56"/>
      <c r="CC1005" s="56"/>
      <c r="CD1005" s="56"/>
      <c r="CE1005" s="56"/>
      <c r="CF1005" s="56"/>
      <c r="CG1005" s="56"/>
      <c r="CH1005" s="56"/>
      <c r="CI1005" s="56"/>
      <c r="CJ1005" s="56"/>
      <c r="CK1005" s="56"/>
      <c r="CL1005" s="56"/>
      <c r="CM1005" s="56"/>
      <c r="CN1005" s="56"/>
      <c r="CO1005" s="56"/>
      <c r="CP1005" s="56"/>
      <c r="CQ1005" s="56"/>
      <c r="CR1005" s="56"/>
      <c r="CS1005" s="56"/>
      <c r="CT1005" s="56"/>
      <c r="CU1005" s="56"/>
      <c r="CV1005" s="56"/>
      <c r="CW1005" s="56"/>
      <c r="CX1005" s="56"/>
      <c r="CY1005" s="56"/>
      <c r="CZ1005" s="56"/>
      <c r="DA1005" s="56"/>
      <c r="DB1005" s="56"/>
      <c r="DC1005" s="56"/>
      <c r="DD1005" s="56"/>
      <c r="DE1005" s="56"/>
      <c r="DF1005" s="56"/>
      <c r="DG1005" s="56"/>
      <c r="DH1005" s="56"/>
      <c r="DI1005" s="56"/>
      <c r="DJ1005" s="56"/>
      <c r="DK1005" s="56"/>
      <c r="DL1005" s="56"/>
      <c r="DM1005" s="56"/>
      <c r="DN1005" s="56"/>
      <c r="DO1005" s="56"/>
      <c r="DP1005" s="56"/>
      <c r="DQ1005" s="56"/>
      <c r="DR1005" s="56"/>
      <c r="DS1005" s="56"/>
      <c r="DT1005" s="56"/>
      <c r="DU1005" s="56"/>
      <c r="DV1005" s="56"/>
      <c r="DW1005" s="56"/>
      <c r="DX1005" s="56"/>
      <c r="DY1005" s="56"/>
      <c r="DZ1005" s="56"/>
      <c r="EA1005" s="56"/>
      <c r="EB1005" s="56"/>
      <c r="EC1005" s="56"/>
      <c r="ED1005" s="56"/>
      <c r="EE1005" s="56"/>
      <c r="EF1005" s="56"/>
      <c r="EG1005" s="56"/>
      <c r="EH1005" s="56"/>
      <c r="EI1005" s="56"/>
      <c r="EJ1005" s="56"/>
      <c r="EK1005" s="56"/>
      <c r="EL1005" s="56"/>
      <c r="EM1005" s="56"/>
      <c r="EN1005" s="56"/>
      <c r="EO1005" s="56"/>
      <c r="EP1005" s="56"/>
      <c r="EQ1005" s="56"/>
      <c r="ER1005" s="56"/>
      <c r="ES1005" s="56"/>
      <c r="ET1005" s="56"/>
      <c r="EU1005" s="56"/>
      <c r="EV1005" s="56"/>
      <c r="EW1005" s="56"/>
      <c r="EX1005" s="56"/>
      <c r="EY1005" s="56"/>
      <c r="EZ1005" s="56"/>
      <c r="FA1005" s="56"/>
      <c r="FB1005" s="56"/>
      <c r="FC1005" s="56"/>
      <c r="FD1005" s="56"/>
      <c r="FE1005" s="56"/>
      <c r="FF1005" s="56"/>
      <c r="FG1005" s="56"/>
      <c r="FH1005" s="56"/>
      <c r="FI1005" s="56"/>
      <c r="FJ1005" s="56"/>
      <c r="FK1005" s="56"/>
      <c r="FL1005" s="56"/>
      <c r="FM1005" s="56"/>
      <c r="FN1005" s="56"/>
      <c r="FO1005" s="56"/>
      <c r="FP1005" s="56"/>
      <c r="FQ1005" s="56"/>
      <c r="FR1005" s="56"/>
      <c r="FS1005" s="56"/>
      <c r="FT1005" s="56"/>
      <c r="FU1005" s="56"/>
      <c r="FV1005" s="56"/>
      <c r="FW1005" s="56"/>
      <c r="FX1005" s="56"/>
      <c r="FY1005" s="56"/>
      <c r="FZ1005" s="56"/>
      <c r="GA1005" s="56"/>
      <c r="GB1005" s="56"/>
      <c r="GC1005" s="56"/>
      <c r="GD1005" s="56"/>
      <c r="GE1005" s="56"/>
      <c r="GF1005" s="56"/>
    </row>
    <row r="1006" spans="1:48" s="18" customFormat="1" ht="18" customHeight="1">
      <c r="A1006" s="50"/>
      <c r="B1006" s="93" t="s">
        <v>670</v>
      </c>
      <c r="C1006" s="16"/>
      <c r="D1006" s="52"/>
      <c r="E1006" s="52"/>
      <c r="F1006" s="52"/>
      <c r="G1006" s="52"/>
      <c r="H1006" s="52"/>
      <c r="I1006" s="52"/>
      <c r="J1006" s="52"/>
      <c r="K1006" s="52"/>
      <c r="L1006" s="60">
        <f t="shared" si="38"/>
        <v>1</v>
      </c>
      <c r="M1006" s="60">
        <f t="shared" si="38"/>
        <v>1</v>
      </c>
      <c r="N1006" s="60">
        <f t="shared" si="38"/>
        <v>1</v>
      </c>
      <c r="O1006" s="60">
        <f t="shared" si="38"/>
        <v>1</v>
      </c>
      <c r="P1006" s="60">
        <f t="shared" si="38"/>
        <v>1</v>
      </c>
      <c r="T1006" s="47"/>
      <c r="U1006" s="47"/>
      <c r="V1006" s="47"/>
      <c r="W1006" s="47"/>
      <c r="X1006" s="47"/>
      <c r="Y1006" s="47"/>
      <c r="Z1006" s="47"/>
      <c r="AA1006" s="47"/>
      <c r="AB1006" s="47"/>
      <c r="AC1006" s="47"/>
      <c r="AD1006" s="47"/>
      <c r="AE1006" s="47"/>
      <c r="AF1006" s="47"/>
      <c r="AG1006" s="47"/>
      <c r="AH1006" s="47"/>
      <c r="AI1006" s="47"/>
      <c r="AJ1006" s="47"/>
      <c r="AK1006" s="47"/>
      <c r="AL1006" s="47"/>
      <c r="AM1006" s="47"/>
      <c r="AN1006" s="47"/>
      <c r="AO1006" s="47"/>
      <c r="AP1006" s="47"/>
      <c r="AQ1006" s="47"/>
      <c r="AR1006" s="47"/>
      <c r="AS1006" s="47"/>
      <c r="AT1006" s="47"/>
      <c r="AU1006" s="47"/>
      <c r="AV1006" s="47"/>
    </row>
    <row r="1007" spans="1:48" s="27" customFormat="1" ht="15.75" customHeight="1">
      <c r="A1007" s="12"/>
      <c r="B1007" s="97" t="s">
        <v>67</v>
      </c>
      <c r="C1007" s="15" t="s">
        <v>68</v>
      </c>
      <c r="D1007" s="51"/>
      <c r="E1007" s="51"/>
      <c r="F1007" s="51">
        <v>3</v>
      </c>
      <c r="G1007" s="51">
        <v>2</v>
      </c>
      <c r="H1007" s="51">
        <v>3</v>
      </c>
      <c r="I1007" s="51">
        <v>3</v>
      </c>
      <c r="J1007" s="51"/>
      <c r="K1007" s="51">
        <v>3</v>
      </c>
      <c r="L1007" s="40">
        <v>1</v>
      </c>
      <c r="M1007" s="40">
        <v>1</v>
      </c>
      <c r="N1007" s="40">
        <v>1</v>
      </c>
      <c r="O1007" s="40">
        <v>1</v>
      </c>
      <c r="P1007" s="40">
        <v>1</v>
      </c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</row>
    <row r="1008" spans="1:188" s="57" customFormat="1" ht="18.75" customHeight="1">
      <c r="A1008" s="13">
        <v>44</v>
      </c>
      <c r="B1008" s="92" t="s">
        <v>206</v>
      </c>
      <c r="C1008" s="45"/>
      <c r="D1008" s="44">
        <v>40</v>
      </c>
      <c r="E1008" s="44" t="s">
        <v>556</v>
      </c>
      <c r="F1008" s="44">
        <v>250</v>
      </c>
      <c r="G1008" s="44">
        <v>71</v>
      </c>
      <c r="H1008" s="44">
        <v>71</v>
      </c>
      <c r="I1008" s="44">
        <v>71</v>
      </c>
      <c r="J1008" s="44"/>
      <c r="K1008" s="44">
        <v>71</v>
      </c>
      <c r="L1008" s="44">
        <f>L1009</f>
        <v>2</v>
      </c>
      <c r="M1008" s="44" t="str">
        <f aca="true" t="shared" si="39" ref="M1008:P1009">M1009</f>
        <v> -</v>
      </c>
      <c r="N1008" s="44" t="str">
        <f t="shared" si="39"/>
        <v> -</v>
      </c>
      <c r="O1008" s="44" t="str">
        <f t="shared" si="39"/>
        <v> -</v>
      </c>
      <c r="P1008" s="44" t="str">
        <f t="shared" si="39"/>
        <v> -</v>
      </c>
      <c r="Q1008" s="54" t="s">
        <v>648</v>
      </c>
      <c r="R1008" s="54">
        <v>2</v>
      </c>
      <c r="S1008" s="55" t="s">
        <v>443</v>
      </c>
      <c r="T1008" s="56"/>
      <c r="U1008" s="56"/>
      <c r="V1008" s="56"/>
      <c r="W1008" s="56"/>
      <c r="X1008" s="56"/>
      <c r="Y1008" s="56"/>
      <c r="Z1008" s="56"/>
      <c r="AA1008" s="56"/>
      <c r="AB1008" s="56"/>
      <c r="AC1008" s="56"/>
      <c r="AD1008" s="56"/>
      <c r="AE1008" s="56"/>
      <c r="AF1008" s="56"/>
      <c r="AG1008" s="56"/>
      <c r="AH1008" s="56"/>
      <c r="AI1008" s="56"/>
      <c r="AJ1008" s="56"/>
      <c r="AK1008" s="56"/>
      <c r="AL1008" s="56"/>
      <c r="AM1008" s="56"/>
      <c r="AN1008" s="56"/>
      <c r="AO1008" s="56"/>
      <c r="AP1008" s="56"/>
      <c r="AQ1008" s="56"/>
      <c r="AR1008" s="56"/>
      <c r="AS1008" s="56"/>
      <c r="AT1008" s="56"/>
      <c r="AU1008" s="56"/>
      <c r="AV1008" s="56"/>
      <c r="AW1008" s="56"/>
      <c r="AX1008" s="56"/>
      <c r="AY1008" s="56"/>
      <c r="AZ1008" s="56"/>
      <c r="BA1008" s="56"/>
      <c r="BB1008" s="56"/>
      <c r="BC1008" s="56"/>
      <c r="BD1008" s="56"/>
      <c r="BE1008" s="56"/>
      <c r="BF1008" s="56"/>
      <c r="BG1008" s="56"/>
      <c r="BH1008" s="56"/>
      <c r="BI1008" s="56"/>
      <c r="BJ1008" s="56"/>
      <c r="BK1008" s="56"/>
      <c r="BL1008" s="56"/>
      <c r="BM1008" s="56"/>
      <c r="BN1008" s="56"/>
      <c r="BO1008" s="56"/>
      <c r="BP1008" s="56"/>
      <c r="BQ1008" s="56"/>
      <c r="BR1008" s="56"/>
      <c r="BS1008" s="56"/>
      <c r="BT1008" s="56"/>
      <c r="BU1008" s="56"/>
      <c r="BV1008" s="56"/>
      <c r="BW1008" s="56"/>
      <c r="BX1008" s="56"/>
      <c r="BY1008" s="56"/>
      <c r="BZ1008" s="56"/>
      <c r="CA1008" s="56"/>
      <c r="CB1008" s="56"/>
      <c r="CC1008" s="56"/>
      <c r="CD1008" s="56"/>
      <c r="CE1008" s="56"/>
      <c r="CF1008" s="56"/>
      <c r="CG1008" s="56"/>
      <c r="CH1008" s="56"/>
      <c r="CI1008" s="56"/>
      <c r="CJ1008" s="56"/>
      <c r="CK1008" s="56"/>
      <c r="CL1008" s="56"/>
      <c r="CM1008" s="56"/>
      <c r="CN1008" s="56"/>
      <c r="CO1008" s="56"/>
      <c r="CP1008" s="56"/>
      <c r="CQ1008" s="56"/>
      <c r="CR1008" s="56"/>
      <c r="CS1008" s="56"/>
      <c r="CT1008" s="56"/>
      <c r="CU1008" s="56"/>
      <c r="CV1008" s="56"/>
      <c r="CW1008" s="56"/>
      <c r="CX1008" s="56"/>
      <c r="CY1008" s="56"/>
      <c r="CZ1008" s="56"/>
      <c r="DA1008" s="56"/>
      <c r="DB1008" s="56"/>
      <c r="DC1008" s="56"/>
      <c r="DD1008" s="56"/>
      <c r="DE1008" s="56"/>
      <c r="DF1008" s="56"/>
      <c r="DG1008" s="56"/>
      <c r="DH1008" s="56"/>
      <c r="DI1008" s="56"/>
      <c r="DJ1008" s="56"/>
      <c r="DK1008" s="56"/>
      <c r="DL1008" s="56"/>
      <c r="DM1008" s="56"/>
      <c r="DN1008" s="56"/>
      <c r="DO1008" s="56"/>
      <c r="DP1008" s="56"/>
      <c r="DQ1008" s="56"/>
      <c r="DR1008" s="56"/>
      <c r="DS1008" s="56"/>
      <c r="DT1008" s="56"/>
      <c r="DU1008" s="56"/>
      <c r="DV1008" s="56"/>
      <c r="DW1008" s="56"/>
      <c r="DX1008" s="56"/>
      <c r="DY1008" s="56"/>
      <c r="DZ1008" s="56"/>
      <c r="EA1008" s="56"/>
      <c r="EB1008" s="56"/>
      <c r="EC1008" s="56"/>
      <c r="ED1008" s="56"/>
      <c r="EE1008" s="56"/>
      <c r="EF1008" s="56"/>
      <c r="EG1008" s="56"/>
      <c r="EH1008" s="56"/>
      <c r="EI1008" s="56"/>
      <c r="EJ1008" s="56"/>
      <c r="EK1008" s="56"/>
      <c r="EL1008" s="56"/>
      <c r="EM1008" s="56"/>
      <c r="EN1008" s="56"/>
      <c r="EO1008" s="56"/>
      <c r="EP1008" s="56"/>
      <c r="EQ1008" s="56"/>
      <c r="ER1008" s="56"/>
      <c r="ES1008" s="56"/>
      <c r="ET1008" s="56"/>
      <c r="EU1008" s="56"/>
      <c r="EV1008" s="56"/>
      <c r="EW1008" s="56"/>
      <c r="EX1008" s="56"/>
      <c r="EY1008" s="56"/>
      <c r="EZ1008" s="56"/>
      <c r="FA1008" s="56"/>
      <c r="FB1008" s="56"/>
      <c r="FC1008" s="56"/>
      <c r="FD1008" s="56"/>
      <c r="FE1008" s="56"/>
      <c r="FF1008" s="56"/>
      <c r="FG1008" s="56"/>
      <c r="FH1008" s="56"/>
      <c r="FI1008" s="56"/>
      <c r="FJ1008" s="56"/>
      <c r="FK1008" s="56"/>
      <c r="FL1008" s="56"/>
      <c r="FM1008" s="56"/>
      <c r="FN1008" s="56"/>
      <c r="FO1008" s="56"/>
      <c r="FP1008" s="56"/>
      <c r="FQ1008" s="56"/>
      <c r="FR1008" s="56"/>
      <c r="FS1008" s="56"/>
      <c r="FT1008" s="56"/>
      <c r="FU1008" s="56"/>
      <c r="FV1008" s="56"/>
      <c r="FW1008" s="56"/>
      <c r="FX1008" s="56"/>
      <c r="FY1008" s="56"/>
      <c r="FZ1008" s="56"/>
      <c r="GA1008" s="56"/>
      <c r="GB1008" s="56"/>
      <c r="GC1008" s="56"/>
      <c r="GD1008" s="56"/>
      <c r="GE1008" s="56"/>
      <c r="GF1008" s="56"/>
    </row>
    <row r="1009" spans="1:48" s="18" customFormat="1" ht="18.75" customHeight="1">
      <c r="A1009" s="50"/>
      <c r="B1009" s="93" t="s">
        <v>37</v>
      </c>
      <c r="C1009" s="16"/>
      <c r="D1009" s="52"/>
      <c r="E1009" s="51"/>
      <c r="F1009" s="52"/>
      <c r="G1009" s="52"/>
      <c r="H1009" s="52"/>
      <c r="I1009" s="52"/>
      <c r="J1009" s="52"/>
      <c r="K1009" s="52"/>
      <c r="L1009" s="60">
        <f>L1010</f>
        <v>2</v>
      </c>
      <c r="M1009" s="60" t="str">
        <f t="shared" si="39"/>
        <v> -</v>
      </c>
      <c r="N1009" s="60" t="str">
        <f t="shared" si="39"/>
        <v> -</v>
      </c>
      <c r="O1009" s="60" t="str">
        <f t="shared" si="39"/>
        <v> -</v>
      </c>
      <c r="P1009" s="60" t="str">
        <f t="shared" si="39"/>
        <v> -</v>
      </c>
      <c r="T1009" s="47"/>
      <c r="U1009" s="47"/>
      <c r="V1009" s="47"/>
      <c r="W1009" s="47"/>
      <c r="X1009" s="47"/>
      <c r="Y1009" s="47"/>
      <c r="Z1009" s="47"/>
      <c r="AA1009" s="47"/>
      <c r="AB1009" s="47"/>
      <c r="AC1009" s="47"/>
      <c r="AD1009" s="47"/>
      <c r="AE1009" s="47"/>
      <c r="AF1009" s="47"/>
      <c r="AG1009" s="47"/>
      <c r="AH1009" s="47"/>
      <c r="AI1009" s="47"/>
      <c r="AJ1009" s="47"/>
      <c r="AK1009" s="47"/>
      <c r="AL1009" s="47"/>
      <c r="AM1009" s="47"/>
      <c r="AN1009" s="47"/>
      <c r="AO1009" s="47"/>
      <c r="AP1009" s="47"/>
      <c r="AQ1009" s="47"/>
      <c r="AR1009" s="47"/>
      <c r="AS1009" s="47"/>
      <c r="AT1009" s="47"/>
      <c r="AU1009" s="47"/>
      <c r="AV1009" s="47"/>
    </row>
    <row r="1010" spans="1:48" s="27" customFormat="1" ht="18.75" customHeight="1">
      <c r="A1010" s="12"/>
      <c r="B1010" s="97" t="s">
        <v>40</v>
      </c>
      <c r="C1010" s="65" t="s">
        <v>39</v>
      </c>
      <c r="D1010" s="51"/>
      <c r="E1010" s="51"/>
      <c r="F1010" s="51" t="s">
        <v>556</v>
      </c>
      <c r="G1010" s="51">
        <v>4</v>
      </c>
      <c r="H1010" s="51">
        <v>4</v>
      </c>
      <c r="I1010" s="51">
        <v>4</v>
      </c>
      <c r="J1010" s="51"/>
      <c r="K1010" s="51">
        <v>4</v>
      </c>
      <c r="L1010" s="40">
        <v>2</v>
      </c>
      <c r="M1010" s="40" t="s">
        <v>556</v>
      </c>
      <c r="N1010" s="40" t="s">
        <v>556</v>
      </c>
      <c r="O1010" s="40" t="s">
        <v>556</v>
      </c>
      <c r="P1010" s="40" t="s">
        <v>556</v>
      </c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</row>
    <row r="1011" spans="1:19" ht="15" customHeight="1">
      <c r="A1011" s="399" t="s">
        <v>664</v>
      </c>
      <c r="B1011" s="399"/>
      <c r="C1011" s="399"/>
      <c r="D1011" s="399"/>
      <c r="E1011" s="399"/>
      <c r="F1011" s="399"/>
      <c r="G1011" s="399"/>
      <c r="H1011" s="399"/>
      <c r="I1011" s="399"/>
      <c r="J1011" s="399"/>
      <c r="K1011" s="399"/>
      <c r="L1011" s="399"/>
      <c r="M1011" s="399"/>
      <c r="N1011" s="399"/>
      <c r="O1011" s="399"/>
      <c r="P1011" s="399"/>
      <c r="Q1011" s="20"/>
      <c r="R1011" s="20"/>
      <c r="S1011" s="7"/>
    </row>
    <row r="1012" spans="1:19" ht="13.5" customHeight="1">
      <c r="A1012" s="400" t="s">
        <v>676</v>
      </c>
      <c r="B1012" s="400"/>
      <c r="C1012" s="400"/>
      <c r="D1012" s="400"/>
      <c r="E1012" s="400"/>
      <c r="F1012" s="400"/>
      <c r="G1012" s="400"/>
      <c r="H1012" s="400"/>
      <c r="I1012" s="400"/>
      <c r="J1012" s="400"/>
      <c r="K1012" s="400"/>
      <c r="L1012" s="400"/>
      <c r="M1012" s="400"/>
      <c r="N1012" s="400"/>
      <c r="O1012" s="400"/>
      <c r="P1012" s="400"/>
      <c r="Q1012" s="21"/>
      <c r="R1012" s="21"/>
      <c r="S1012" s="8"/>
    </row>
    <row r="1013" spans="1:188" s="205" customFormat="1" ht="18" customHeight="1">
      <c r="A1013" s="13">
        <v>45</v>
      </c>
      <c r="B1013" s="92" t="s">
        <v>223</v>
      </c>
      <c r="C1013" s="45"/>
      <c r="D1013" s="44">
        <v>2331</v>
      </c>
      <c r="E1013" s="44">
        <v>118</v>
      </c>
      <c r="F1013" s="44">
        <v>2270</v>
      </c>
      <c r="G1013" s="44">
        <v>2197</v>
      </c>
      <c r="H1013" s="44">
        <v>2197</v>
      </c>
      <c r="I1013" s="44">
        <v>2197</v>
      </c>
      <c r="J1013" s="44"/>
      <c r="K1013" s="44">
        <v>2197</v>
      </c>
      <c r="L1013" s="44">
        <f>L1014+L1029+L1033</f>
        <v>10</v>
      </c>
      <c r="M1013" s="44">
        <v>29</v>
      </c>
      <c r="N1013" s="44">
        <v>29</v>
      </c>
      <c r="O1013" s="44">
        <v>34</v>
      </c>
      <c r="P1013" s="44">
        <v>16</v>
      </c>
      <c r="Q1013" s="239" t="e">
        <f>SUM(Q1014,#REF!,Q1033)</f>
        <v>#REF!</v>
      </c>
      <c r="R1013" s="71" t="e">
        <f>SUM(R1014,#REF!,R1033)</f>
        <v>#REF!</v>
      </c>
      <c r="S1013" s="71" t="e">
        <f>SUM(S1014,#REF!,S1033)</f>
        <v>#REF!</v>
      </c>
      <c r="T1013" s="204"/>
      <c r="U1013" s="204"/>
      <c r="V1013" s="204"/>
      <c r="W1013" s="204"/>
      <c r="X1013" s="204"/>
      <c r="Y1013" s="204"/>
      <c r="Z1013" s="204"/>
      <c r="AA1013" s="204"/>
      <c r="AB1013" s="204"/>
      <c r="AC1013" s="204"/>
      <c r="AD1013" s="204"/>
      <c r="AE1013" s="204"/>
      <c r="AF1013" s="204"/>
      <c r="AG1013" s="204"/>
      <c r="AH1013" s="204"/>
      <c r="AI1013" s="204"/>
      <c r="AJ1013" s="204"/>
      <c r="AK1013" s="204"/>
      <c r="AL1013" s="204"/>
      <c r="AM1013" s="204"/>
      <c r="AN1013" s="204"/>
      <c r="AO1013" s="204"/>
      <c r="AP1013" s="204"/>
      <c r="AQ1013" s="204"/>
      <c r="AR1013" s="204"/>
      <c r="AS1013" s="204"/>
      <c r="AT1013" s="204"/>
      <c r="AU1013" s="204"/>
      <c r="AV1013" s="204"/>
      <c r="AW1013" s="204"/>
      <c r="AX1013" s="204"/>
      <c r="AY1013" s="204"/>
      <c r="AZ1013" s="204"/>
      <c r="BA1013" s="204"/>
      <c r="BB1013" s="204"/>
      <c r="BC1013" s="204"/>
      <c r="BD1013" s="204"/>
      <c r="BE1013" s="204"/>
      <c r="BF1013" s="204"/>
      <c r="BG1013" s="204"/>
      <c r="BH1013" s="204"/>
      <c r="BI1013" s="204"/>
      <c r="BJ1013" s="204"/>
      <c r="BK1013" s="204"/>
      <c r="BL1013" s="204"/>
      <c r="BM1013" s="204"/>
      <c r="BN1013" s="204"/>
      <c r="BO1013" s="204"/>
      <c r="BP1013" s="204"/>
      <c r="BQ1013" s="204"/>
      <c r="BR1013" s="204"/>
      <c r="BS1013" s="204"/>
      <c r="BT1013" s="204"/>
      <c r="BU1013" s="204"/>
      <c r="BV1013" s="204"/>
      <c r="BW1013" s="204"/>
      <c r="BX1013" s="204"/>
      <c r="BY1013" s="204"/>
      <c r="BZ1013" s="204"/>
      <c r="CA1013" s="204"/>
      <c r="CB1013" s="204"/>
      <c r="CC1013" s="204"/>
      <c r="CD1013" s="204"/>
      <c r="CE1013" s="204"/>
      <c r="CF1013" s="204"/>
      <c r="CG1013" s="204"/>
      <c r="CH1013" s="204"/>
      <c r="CI1013" s="204"/>
      <c r="CJ1013" s="204"/>
      <c r="CK1013" s="204"/>
      <c r="CL1013" s="204"/>
      <c r="CM1013" s="204"/>
      <c r="CN1013" s="204"/>
      <c r="CO1013" s="204"/>
      <c r="CP1013" s="204"/>
      <c r="CQ1013" s="204"/>
      <c r="CR1013" s="204"/>
      <c r="CS1013" s="204"/>
      <c r="CT1013" s="204"/>
      <c r="CU1013" s="204"/>
      <c r="CV1013" s="204"/>
      <c r="CW1013" s="204"/>
      <c r="CX1013" s="204"/>
      <c r="CY1013" s="204"/>
      <c r="CZ1013" s="204"/>
      <c r="DA1013" s="204"/>
      <c r="DB1013" s="204"/>
      <c r="DC1013" s="204"/>
      <c r="DD1013" s="204"/>
      <c r="DE1013" s="204"/>
      <c r="DF1013" s="204"/>
      <c r="DG1013" s="204"/>
      <c r="DH1013" s="204"/>
      <c r="DI1013" s="204"/>
      <c r="DJ1013" s="204"/>
      <c r="DK1013" s="204"/>
      <c r="DL1013" s="204"/>
      <c r="DM1013" s="204"/>
      <c r="DN1013" s="204"/>
      <c r="DO1013" s="204"/>
      <c r="DP1013" s="204"/>
      <c r="DQ1013" s="204"/>
      <c r="DR1013" s="204"/>
      <c r="DS1013" s="204"/>
      <c r="DT1013" s="204"/>
      <c r="DU1013" s="204"/>
      <c r="DV1013" s="204"/>
      <c r="DW1013" s="204"/>
      <c r="DX1013" s="204"/>
      <c r="DY1013" s="204"/>
      <c r="DZ1013" s="204"/>
      <c r="EA1013" s="204"/>
      <c r="EB1013" s="204"/>
      <c r="EC1013" s="204"/>
      <c r="ED1013" s="204"/>
      <c r="EE1013" s="204"/>
      <c r="EF1013" s="204"/>
      <c r="EG1013" s="204"/>
      <c r="EH1013" s="204"/>
      <c r="EI1013" s="204"/>
      <c r="EJ1013" s="204"/>
      <c r="EK1013" s="204"/>
      <c r="EL1013" s="204"/>
      <c r="EM1013" s="204"/>
      <c r="EN1013" s="204"/>
      <c r="EO1013" s="204"/>
      <c r="EP1013" s="204"/>
      <c r="EQ1013" s="204"/>
      <c r="ER1013" s="204"/>
      <c r="ES1013" s="204"/>
      <c r="ET1013" s="204"/>
      <c r="EU1013" s="204"/>
      <c r="EV1013" s="204"/>
      <c r="EW1013" s="204"/>
      <c r="EX1013" s="204"/>
      <c r="EY1013" s="204"/>
      <c r="EZ1013" s="204"/>
      <c r="FA1013" s="204"/>
      <c r="FB1013" s="204"/>
      <c r="FC1013" s="204"/>
      <c r="FD1013" s="204"/>
      <c r="FE1013" s="204"/>
      <c r="FF1013" s="204"/>
      <c r="FG1013" s="204"/>
      <c r="FH1013" s="204"/>
      <c r="FI1013" s="204"/>
      <c r="FJ1013" s="204"/>
      <c r="FK1013" s="204"/>
      <c r="FL1013" s="204"/>
      <c r="FM1013" s="204"/>
      <c r="FN1013" s="204"/>
      <c r="FO1013" s="204"/>
      <c r="FP1013" s="204"/>
      <c r="FQ1013" s="204"/>
      <c r="FR1013" s="204"/>
      <c r="FS1013" s="204"/>
      <c r="FT1013" s="204"/>
      <c r="FU1013" s="204"/>
      <c r="FV1013" s="204"/>
      <c r="FW1013" s="204"/>
      <c r="FX1013" s="204"/>
      <c r="FY1013" s="204"/>
      <c r="FZ1013" s="204"/>
      <c r="GA1013" s="204"/>
      <c r="GB1013" s="204"/>
      <c r="GC1013" s="204"/>
      <c r="GD1013" s="204"/>
      <c r="GE1013" s="204"/>
      <c r="GF1013" s="204"/>
    </row>
    <row r="1014" spans="1:57" s="213" customFormat="1" ht="15.75">
      <c r="A1014" s="13"/>
      <c r="B1014" s="93" t="s">
        <v>669</v>
      </c>
      <c r="C1014" s="15"/>
      <c r="D1014" s="60">
        <f>D1015+D1016+D1017+D1018+D1019+D1020+D1021+D1022+D1023+D1024+D1025+D1026+D1027+D1028</f>
        <v>267</v>
      </c>
      <c r="E1014" s="60">
        <f aca="true" t="shared" si="40" ref="E1014:S1014">E1015+E1016+E1017+E1018+E1019+E1020+E1021+E1022+E1023+E1024+E1025+E1026+E1027+E1028</f>
        <v>32</v>
      </c>
      <c r="F1014" s="60">
        <f t="shared" si="40"/>
        <v>422</v>
      </c>
      <c r="G1014" s="60">
        <f t="shared" si="40"/>
        <v>422</v>
      </c>
      <c r="H1014" s="60">
        <f t="shared" si="40"/>
        <v>422</v>
      </c>
      <c r="I1014" s="60">
        <f t="shared" si="40"/>
        <v>422</v>
      </c>
      <c r="J1014" s="60">
        <f t="shared" si="40"/>
        <v>0</v>
      </c>
      <c r="K1014" s="60">
        <f t="shared" si="40"/>
        <v>422</v>
      </c>
      <c r="L1014" s="60">
        <f t="shared" si="40"/>
        <v>10</v>
      </c>
      <c r="M1014" s="60">
        <f t="shared" si="40"/>
        <v>11</v>
      </c>
      <c r="N1014" s="60">
        <f t="shared" si="40"/>
        <v>10</v>
      </c>
      <c r="O1014" s="60">
        <f t="shared" si="40"/>
        <v>11</v>
      </c>
      <c r="P1014" s="60">
        <f t="shared" si="40"/>
        <v>0</v>
      </c>
      <c r="Q1014" s="206">
        <f t="shared" si="40"/>
        <v>0</v>
      </c>
      <c r="R1014" s="206">
        <f t="shared" si="40"/>
        <v>0</v>
      </c>
      <c r="S1014" s="206">
        <f t="shared" si="40"/>
        <v>0</v>
      </c>
      <c r="BA1014" s="214"/>
      <c r="BB1014" s="212"/>
      <c r="BC1014" s="212"/>
      <c r="BD1014" s="212"/>
      <c r="BE1014" s="212"/>
    </row>
    <row r="1015" spans="1:57" s="213" customFormat="1" ht="15.75" customHeight="1">
      <c r="A1015" s="13"/>
      <c r="B1015" s="97" t="s">
        <v>983</v>
      </c>
      <c r="C1015" s="15" t="s">
        <v>601</v>
      </c>
      <c r="D1015" s="40">
        <v>39</v>
      </c>
      <c r="E1015" s="40">
        <v>4</v>
      </c>
      <c r="F1015" s="40">
        <v>36</v>
      </c>
      <c r="G1015" s="40">
        <v>36</v>
      </c>
      <c r="H1015" s="40">
        <v>36</v>
      </c>
      <c r="I1015" s="40">
        <v>36</v>
      </c>
      <c r="J1015" s="40"/>
      <c r="K1015" s="40">
        <v>36</v>
      </c>
      <c r="L1015" s="40">
        <v>2</v>
      </c>
      <c r="M1015" s="40">
        <v>1</v>
      </c>
      <c r="N1015" s="40">
        <v>1</v>
      </c>
      <c r="O1015" s="40">
        <v>2</v>
      </c>
      <c r="P1015" s="40"/>
      <c r="Q1015" s="214"/>
      <c r="R1015" s="212"/>
      <c r="S1015" s="212"/>
      <c r="BA1015" s="214"/>
      <c r="BB1015" s="212"/>
      <c r="BC1015" s="212"/>
      <c r="BD1015" s="212"/>
      <c r="BE1015" s="212"/>
    </row>
    <row r="1016" spans="1:57" s="213" customFormat="1" ht="18" customHeight="1">
      <c r="A1016" s="13"/>
      <c r="B1016" s="97" t="s">
        <v>1311</v>
      </c>
      <c r="C1016" s="15" t="s">
        <v>1312</v>
      </c>
      <c r="D1016" s="40">
        <v>22</v>
      </c>
      <c r="E1016" s="40">
        <v>4</v>
      </c>
      <c r="F1016" s="40">
        <v>23</v>
      </c>
      <c r="G1016" s="40">
        <v>23</v>
      </c>
      <c r="H1016" s="40">
        <v>23</v>
      </c>
      <c r="I1016" s="40">
        <v>23</v>
      </c>
      <c r="J1016" s="40"/>
      <c r="K1016" s="40">
        <v>23</v>
      </c>
      <c r="L1016" s="40">
        <v>2</v>
      </c>
      <c r="M1016" s="40">
        <v>1</v>
      </c>
      <c r="N1016" s="40">
        <v>1</v>
      </c>
      <c r="O1016" s="40">
        <v>2</v>
      </c>
      <c r="P1016" s="40"/>
      <c r="Q1016" s="214"/>
      <c r="R1016" s="212"/>
      <c r="S1016" s="212"/>
      <c r="BA1016" s="214"/>
      <c r="BB1016" s="212"/>
      <c r="BC1016" s="212"/>
      <c r="BD1016" s="212"/>
      <c r="BE1016" s="212"/>
    </row>
    <row r="1017" spans="1:57" s="213" customFormat="1" ht="18" customHeight="1">
      <c r="A1017" s="13"/>
      <c r="B1017" s="97" t="s">
        <v>797</v>
      </c>
      <c r="C1017" s="15" t="s">
        <v>798</v>
      </c>
      <c r="D1017" s="40">
        <v>11</v>
      </c>
      <c r="E1017" s="40">
        <v>2</v>
      </c>
      <c r="F1017" s="40"/>
      <c r="G1017" s="40"/>
      <c r="H1017" s="40"/>
      <c r="I1017" s="40"/>
      <c r="J1017" s="40"/>
      <c r="K1017" s="40"/>
      <c r="L1017" s="40"/>
      <c r="M1017" s="40"/>
      <c r="N1017" s="40"/>
      <c r="O1017" s="40">
        <v>2</v>
      </c>
      <c r="P1017" s="40"/>
      <c r="Q1017" s="214"/>
      <c r="R1017" s="212"/>
      <c r="S1017" s="212"/>
      <c r="BA1017" s="214"/>
      <c r="BB1017" s="212"/>
      <c r="BC1017" s="212"/>
      <c r="BD1017" s="212"/>
      <c r="BE1017" s="212"/>
    </row>
    <row r="1018" spans="1:57" s="213" customFormat="1" ht="18" customHeight="1">
      <c r="A1018" s="13"/>
      <c r="B1018" s="97" t="s">
        <v>1316</v>
      </c>
      <c r="C1018" s="15" t="s">
        <v>1317</v>
      </c>
      <c r="D1018" s="40">
        <v>42</v>
      </c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214"/>
      <c r="R1018" s="212"/>
      <c r="S1018" s="212"/>
      <c r="BA1018" s="214"/>
      <c r="BB1018" s="212"/>
      <c r="BC1018" s="212"/>
      <c r="BD1018" s="212"/>
      <c r="BE1018" s="212"/>
    </row>
    <row r="1019" spans="1:57" s="213" customFormat="1" ht="18" customHeight="1">
      <c r="A1019" s="13"/>
      <c r="B1019" s="97" t="s">
        <v>1108</v>
      </c>
      <c r="C1019" s="15" t="s">
        <v>985</v>
      </c>
      <c r="D1019" s="40">
        <v>6</v>
      </c>
      <c r="E1019" s="40">
        <v>2</v>
      </c>
      <c r="F1019" s="40"/>
      <c r="G1019" s="40"/>
      <c r="H1019" s="40"/>
      <c r="I1019" s="40"/>
      <c r="J1019" s="40"/>
      <c r="K1019" s="40"/>
      <c r="L1019" s="40"/>
      <c r="M1019" s="40">
        <v>1</v>
      </c>
      <c r="N1019" s="40">
        <v>1</v>
      </c>
      <c r="O1019" s="40"/>
      <c r="P1019" s="40"/>
      <c r="Q1019" s="214"/>
      <c r="R1019" s="212"/>
      <c r="S1019" s="212"/>
      <c r="BA1019" s="214"/>
      <c r="BB1019" s="212"/>
      <c r="BC1019" s="212"/>
      <c r="BD1019" s="212"/>
      <c r="BE1019" s="212"/>
    </row>
    <row r="1020" spans="1:57" s="213" customFormat="1" ht="15.75">
      <c r="A1020" s="13"/>
      <c r="B1020" s="97" t="s">
        <v>560</v>
      </c>
      <c r="C1020" s="15">
        <v>24010138</v>
      </c>
      <c r="D1020" s="40">
        <v>57</v>
      </c>
      <c r="E1020" s="40">
        <v>10</v>
      </c>
      <c r="F1020" s="40">
        <v>50</v>
      </c>
      <c r="G1020" s="40">
        <v>50</v>
      </c>
      <c r="H1020" s="40">
        <v>50</v>
      </c>
      <c r="I1020" s="40">
        <v>50</v>
      </c>
      <c r="J1020" s="40"/>
      <c r="K1020" s="40">
        <v>50</v>
      </c>
      <c r="L1020" s="40">
        <v>4</v>
      </c>
      <c r="M1020" s="40">
        <v>4</v>
      </c>
      <c r="N1020" s="40">
        <v>3</v>
      </c>
      <c r="O1020" s="40">
        <v>3</v>
      </c>
      <c r="P1020" s="40"/>
      <c r="Q1020" s="214"/>
      <c r="R1020" s="212"/>
      <c r="S1020" s="212"/>
      <c r="BA1020" s="214"/>
      <c r="BB1020" s="212"/>
      <c r="BC1020" s="212"/>
      <c r="BD1020" s="212"/>
      <c r="BE1020" s="212"/>
    </row>
    <row r="1021" spans="1:57" s="213" customFormat="1" ht="15.75">
      <c r="A1021" s="13"/>
      <c r="B1021" s="97" t="s">
        <v>630</v>
      </c>
      <c r="C1021" s="66" t="s">
        <v>631</v>
      </c>
      <c r="D1021" s="40">
        <v>13</v>
      </c>
      <c r="E1021" s="40">
        <v>3</v>
      </c>
      <c r="F1021" s="40">
        <v>13</v>
      </c>
      <c r="G1021" s="40">
        <v>13</v>
      </c>
      <c r="H1021" s="40">
        <v>13</v>
      </c>
      <c r="I1021" s="40">
        <v>13</v>
      </c>
      <c r="J1021" s="40"/>
      <c r="K1021" s="40">
        <v>13</v>
      </c>
      <c r="L1021" s="40">
        <v>1</v>
      </c>
      <c r="M1021" s="40">
        <v>2</v>
      </c>
      <c r="N1021" s="40">
        <v>1</v>
      </c>
      <c r="O1021" s="40"/>
      <c r="P1021" s="40"/>
      <c r="Q1021" s="214"/>
      <c r="R1021" s="212"/>
      <c r="S1021" s="212"/>
      <c r="BA1021" s="214"/>
      <c r="BB1021" s="212"/>
      <c r="BC1021" s="212"/>
      <c r="BD1021" s="212"/>
      <c r="BE1021" s="212"/>
    </row>
    <row r="1022" spans="1:57" s="213" customFormat="1" ht="17.25" customHeight="1">
      <c r="A1022" s="13"/>
      <c r="B1022" s="97" t="s">
        <v>986</v>
      </c>
      <c r="C1022" s="15">
        <v>15060232</v>
      </c>
      <c r="D1022" s="40">
        <v>20</v>
      </c>
      <c r="E1022" s="40">
        <v>3</v>
      </c>
      <c r="F1022" s="40">
        <v>20</v>
      </c>
      <c r="G1022" s="40">
        <v>20</v>
      </c>
      <c r="H1022" s="40">
        <v>20</v>
      </c>
      <c r="I1022" s="40">
        <v>20</v>
      </c>
      <c r="J1022" s="40"/>
      <c r="K1022" s="40">
        <v>20</v>
      </c>
      <c r="L1022" s="40">
        <v>1</v>
      </c>
      <c r="M1022" s="40">
        <v>1</v>
      </c>
      <c r="N1022" s="40">
        <v>1</v>
      </c>
      <c r="O1022" s="40">
        <v>1</v>
      </c>
      <c r="P1022" s="40"/>
      <c r="Q1022" s="214"/>
      <c r="R1022" s="212"/>
      <c r="S1022" s="212"/>
      <c r="BA1022" s="214"/>
      <c r="BB1022" s="212"/>
      <c r="BC1022" s="212"/>
      <c r="BD1022" s="212"/>
      <c r="BE1022" s="212"/>
    </row>
    <row r="1023" spans="1:57" s="213" customFormat="1" ht="17.25" customHeight="1">
      <c r="A1023" s="13"/>
      <c r="B1023" s="97" t="s">
        <v>453</v>
      </c>
      <c r="C1023" s="15" t="s">
        <v>454</v>
      </c>
      <c r="D1023" s="40">
        <v>16</v>
      </c>
      <c r="E1023" s="40">
        <v>1</v>
      </c>
      <c r="F1023" s="40"/>
      <c r="G1023" s="40"/>
      <c r="H1023" s="40"/>
      <c r="I1023" s="40"/>
      <c r="J1023" s="40"/>
      <c r="K1023" s="40"/>
      <c r="L1023" s="40"/>
      <c r="M1023" s="40"/>
      <c r="N1023" s="40">
        <v>1</v>
      </c>
      <c r="O1023" s="40"/>
      <c r="P1023" s="40"/>
      <c r="Q1023" s="214"/>
      <c r="R1023" s="212"/>
      <c r="S1023" s="212"/>
      <c r="BA1023" s="214"/>
      <c r="BB1023" s="212"/>
      <c r="BC1023" s="212"/>
      <c r="BD1023" s="212"/>
      <c r="BE1023" s="212"/>
    </row>
    <row r="1024" spans="1:57" s="213" customFormat="1" ht="18.75" customHeight="1">
      <c r="A1024" s="13"/>
      <c r="B1024" s="97" t="s">
        <v>1331</v>
      </c>
      <c r="C1024" s="15" t="s">
        <v>602</v>
      </c>
      <c r="D1024" s="40">
        <v>6</v>
      </c>
      <c r="E1024" s="40"/>
      <c r="F1024" s="40">
        <v>7</v>
      </c>
      <c r="G1024" s="40">
        <v>7</v>
      </c>
      <c r="H1024" s="40">
        <v>7</v>
      </c>
      <c r="I1024" s="40">
        <v>7</v>
      </c>
      <c r="J1024" s="40"/>
      <c r="K1024" s="40">
        <v>7</v>
      </c>
      <c r="L1024" s="40"/>
      <c r="M1024" s="40"/>
      <c r="N1024" s="40"/>
      <c r="O1024" s="40"/>
      <c r="P1024" s="40"/>
      <c r="Q1024" s="214"/>
      <c r="R1024" s="212"/>
      <c r="S1024" s="212"/>
      <c r="BA1024" s="214"/>
      <c r="BB1024" s="212"/>
      <c r="BC1024" s="212"/>
      <c r="BD1024" s="212"/>
      <c r="BE1024" s="212"/>
    </row>
    <row r="1025" spans="1:57" s="213" customFormat="1" ht="16.5" customHeight="1">
      <c r="A1025" s="13"/>
      <c r="B1025" s="97" t="s">
        <v>987</v>
      </c>
      <c r="C1025" s="15" t="s">
        <v>603</v>
      </c>
      <c r="D1025" s="40">
        <v>7</v>
      </c>
      <c r="E1025" s="40">
        <v>2</v>
      </c>
      <c r="F1025" s="40">
        <v>23</v>
      </c>
      <c r="G1025" s="40">
        <v>23</v>
      </c>
      <c r="H1025" s="40">
        <v>23</v>
      </c>
      <c r="I1025" s="40">
        <v>23</v>
      </c>
      <c r="J1025" s="40"/>
      <c r="K1025" s="40">
        <v>23</v>
      </c>
      <c r="L1025" s="40"/>
      <c r="M1025" s="40">
        <v>1</v>
      </c>
      <c r="N1025" s="40">
        <v>1</v>
      </c>
      <c r="O1025" s="40"/>
      <c r="P1025" s="40"/>
      <c r="Q1025" s="214"/>
      <c r="R1025" s="212"/>
      <c r="S1025" s="212"/>
      <c r="BA1025" s="214"/>
      <c r="BB1025" s="212"/>
      <c r="BC1025" s="212"/>
      <c r="BD1025" s="212"/>
      <c r="BE1025" s="212"/>
    </row>
    <row r="1026" spans="1:57" s="213" customFormat="1" ht="18.75" customHeight="1">
      <c r="A1026" s="13"/>
      <c r="B1026" s="97" t="s">
        <v>1109</v>
      </c>
      <c r="C1026" s="15" t="s">
        <v>988</v>
      </c>
      <c r="D1026" s="40">
        <v>4</v>
      </c>
      <c r="E1026" s="40"/>
      <c r="F1026" s="40">
        <v>250</v>
      </c>
      <c r="G1026" s="40">
        <v>250</v>
      </c>
      <c r="H1026" s="40">
        <v>250</v>
      </c>
      <c r="I1026" s="40">
        <v>250</v>
      </c>
      <c r="J1026" s="40"/>
      <c r="K1026" s="40">
        <v>250</v>
      </c>
      <c r="L1026" s="40"/>
      <c r="M1026" s="40"/>
      <c r="N1026" s="40"/>
      <c r="O1026" s="40"/>
      <c r="P1026" s="40"/>
      <c r="Q1026" s="214"/>
      <c r="R1026" s="212"/>
      <c r="S1026" s="212"/>
      <c r="BA1026" s="214"/>
      <c r="BB1026" s="212"/>
      <c r="BC1026" s="212"/>
      <c r="BD1026" s="212"/>
      <c r="BE1026" s="212"/>
    </row>
    <row r="1027" spans="1:19" s="213" customFormat="1" ht="18.75" customHeight="1">
      <c r="A1027" s="13"/>
      <c r="B1027" s="97" t="s">
        <v>989</v>
      </c>
      <c r="C1027" s="15" t="s">
        <v>604</v>
      </c>
      <c r="D1027" s="40">
        <v>8</v>
      </c>
      <c r="E1027" s="40">
        <v>1</v>
      </c>
      <c r="F1027" s="40"/>
      <c r="G1027" s="40"/>
      <c r="H1027" s="40"/>
      <c r="I1027" s="40"/>
      <c r="J1027" s="40"/>
      <c r="K1027" s="40"/>
      <c r="L1027" s="40"/>
      <c r="M1027" s="40"/>
      <c r="N1027" s="40"/>
      <c r="O1027" s="40">
        <v>1</v>
      </c>
      <c r="P1027" s="40"/>
      <c r="Q1027" s="214"/>
      <c r="R1027" s="214"/>
      <c r="S1027" s="214"/>
    </row>
    <row r="1028" spans="1:19" s="213" customFormat="1" ht="18.75" customHeight="1">
      <c r="A1028" s="13"/>
      <c r="B1028" s="97" t="s">
        <v>780</v>
      </c>
      <c r="C1028" s="15" t="s">
        <v>605</v>
      </c>
      <c r="D1028" s="40">
        <v>16</v>
      </c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214"/>
      <c r="R1028" s="214"/>
      <c r="S1028" s="214"/>
    </row>
    <row r="1029" spans="1:19" s="207" customFormat="1" ht="18" customHeight="1">
      <c r="A1029" s="50"/>
      <c r="B1029" s="93" t="s">
        <v>670</v>
      </c>
      <c r="C1029" s="94"/>
      <c r="D1029" s="60">
        <f>D1030+D1031+D1032</f>
        <v>432</v>
      </c>
      <c r="E1029" s="60">
        <f aca="true" t="shared" si="41" ref="E1029:P1029">E1030+E1031+E1032</f>
        <v>57</v>
      </c>
      <c r="F1029" s="60">
        <f t="shared" si="41"/>
        <v>0</v>
      </c>
      <c r="G1029" s="60">
        <f t="shared" si="41"/>
        <v>0</v>
      </c>
      <c r="H1029" s="60">
        <f t="shared" si="41"/>
        <v>0</v>
      </c>
      <c r="I1029" s="60">
        <f t="shared" si="41"/>
        <v>0</v>
      </c>
      <c r="J1029" s="60">
        <f t="shared" si="41"/>
        <v>0</v>
      </c>
      <c r="K1029" s="60">
        <f t="shared" si="41"/>
        <v>0</v>
      </c>
      <c r="L1029" s="60"/>
      <c r="M1029" s="60">
        <f t="shared" si="41"/>
        <v>14</v>
      </c>
      <c r="N1029" s="60">
        <f t="shared" si="41"/>
        <v>11</v>
      </c>
      <c r="O1029" s="60">
        <f t="shared" si="41"/>
        <v>11</v>
      </c>
      <c r="P1029" s="60">
        <f t="shared" si="41"/>
        <v>11</v>
      </c>
      <c r="Q1029" s="216"/>
      <c r="R1029" s="216"/>
      <c r="S1029" s="217"/>
    </row>
    <row r="1030" spans="1:57" s="213" customFormat="1" ht="15.75" customHeight="1">
      <c r="A1030" s="13"/>
      <c r="B1030" s="111" t="s">
        <v>1110</v>
      </c>
      <c r="C1030" s="15" t="s">
        <v>102</v>
      </c>
      <c r="D1030" s="40">
        <v>33</v>
      </c>
      <c r="E1030" s="40">
        <v>3</v>
      </c>
      <c r="F1030" s="40"/>
      <c r="G1030" s="40"/>
      <c r="H1030" s="40"/>
      <c r="I1030" s="40"/>
      <c r="J1030" s="40"/>
      <c r="K1030" s="40"/>
      <c r="L1030" s="40"/>
      <c r="M1030" s="40">
        <v>1</v>
      </c>
      <c r="N1030" s="40">
        <v>1</v>
      </c>
      <c r="O1030" s="40"/>
      <c r="P1030" s="40">
        <v>1</v>
      </c>
      <c r="Q1030" s="214"/>
      <c r="R1030" s="212"/>
      <c r="S1030" s="212"/>
      <c r="BA1030" s="214"/>
      <c r="BB1030" s="212"/>
      <c r="BC1030" s="212"/>
      <c r="BD1030" s="212"/>
      <c r="BE1030" s="212"/>
    </row>
    <row r="1031" spans="1:16" s="213" customFormat="1" ht="15.75" customHeight="1">
      <c r="A1031" s="13"/>
      <c r="B1031" s="111" t="s">
        <v>1111</v>
      </c>
      <c r="C1031" s="15" t="s">
        <v>565</v>
      </c>
      <c r="D1031" s="40">
        <v>170</v>
      </c>
      <c r="E1031" s="40">
        <v>21</v>
      </c>
      <c r="F1031" s="40"/>
      <c r="G1031" s="40"/>
      <c r="H1031" s="40"/>
      <c r="I1031" s="40"/>
      <c r="J1031" s="40"/>
      <c r="K1031" s="40"/>
      <c r="L1031" s="40"/>
      <c r="M1031" s="40">
        <v>3</v>
      </c>
      <c r="N1031" s="40">
        <v>3</v>
      </c>
      <c r="O1031" s="40">
        <v>5</v>
      </c>
      <c r="P1031" s="40">
        <v>5</v>
      </c>
    </row>
    <row r="1032" spans="1:16" s="213" customFormat="1" ht="15.75" customHeight="1">
      <c r="A1032" s="13"/>
      <c r="B1032" s="111" t="s">
        <v>1112</v>
      </c>
      <c r="C1032" s="15" t="s">
        <v>606</v>
      </c>
      <c r="D1032" s="40">
        <v>229</v>
      </c>
      <c r="E1032" s="40">
        <v>33</v>
      </c>
      <c r="F1032" s="40"/>
      <c r="G1032" s="40"/>
      <c r="H1032" s="40"/>
      <c r="I1032" s="40"/>
      <c r="J1032" s="40"/>
      <c r="K1032" s="40"/>
      <c r="L1032" s="40"/>
      <c r="M1032" s="40">
        <v>10</v>
      </c>
      <c r="N1032" s="40">
        <v>7</v>
      </c>
      <c r="O1032" s="40">
        <v>6</v>
      </c>
      <c r="P1032" s="40">
        <v>5</v>
      </c>
    </row>
    <row r="1033" spans="1:16" s="207" customFormat="1" ht="18.75" customHeight="1">
      <c r="A1033" s="50"/>
      <c r="B1033" s="93" t="s">
        <v>37</v>
      </c>
      <c r="C1033" s="94"/>
      <c r="D1033" s="60">
        <f>D1034+D1035+D1036+D1037+D1038+D1039+D1040+D1041+D1042+D1043</f>
        <v>171</v>
      </c>
      <c r="E1033" s="60">
        <f aca="true" t="shared" si="42" ref="E1033:P1033">E1034+E1035+E1036+E1037+E1038+E1039+E1040+E1041+E1042+E1043</f>
        <v>29</v>
      </c>
      <c r="F1033" s="60" t="e">
        <f t="shared" si="42"/>
        <v>#VALUE!</v>
      </c>
      <c r="G1033" s="60">
        <f t="shared" si="42"/>
        <v>75</v>
      </c>
      <c r="H1033" s="60">
        <f t="shared" si="42"/>
        <v>75</v>
      </c>
      <c r="I1033" s="60">
        <f t="shared" si="42"/>
        <v>75</v>
      </c>
      <c r="J1033" s="60">
        <f t="shared" si="42"/>
        <v>0</v>
      </c>
      <c r="K1033" s="60">
        <f t="shared" si="42"/>
        <v>75</v>
      </c>
      <c r="L1033" s="60"/>
      <c r="M1033" s="60">
        <f t="shared" si="42"/>
        <v>4</v>
      </c>
      <c r="N1033" s="60">
        <f t="shared" si="42"/>
        <v>8</v>
      </c>
      <c r="O1033" s="60">
        <f t="shared" si="42"/>
        <v>12</v>
      </c>
      <c r="P1033" s="60">
        <f t="shared" si="42"/>
        <v>5</v>
      </c>
    </row>
    <row r="1034" spans="1:19" s="211" customFormat="1" ht="18.75" customHeight="1">
      <c r="A1034" s="12"/>
      <c r="B1034" s="97" t="s">
        <v>561</v>
      </c>
      <c r="C1034" s="15" t="s">
        <v>804</v>
      </c>
      <c r="D1034" s="40">
        <v>15</v>
      </c>
      <c r="E1034" s="40">
        <v>3</v>
      </c>
      <c r="F1034" s="40" t="s">
        <v>556</v>
      </c>
      <c r="G1034" s="40">
        <v>41</v>
      </c>
      <c r="H1034" s="40">
        <v>41</v>
      </c>
      <c r="I1034" s="40">
        <v>41</v>
      </c>
      <c r="J1034" s="40"/>
      <c r="K1034" s="40">
        <v>41</v>
      </c>
      <c r="L1034" s="40"/>
      <c r="M1034" s="40">
        <v>1</v>
      </c>
      <c r="N1034" s="40">
        <v>1</v>
      </c>
      <c r="O1034" s="40">
        <v>1</v>
      </c>
      <c r="P1034" s="40"/>
      <c r="Q1034" s="210"/>
      <c r="R1034" s="210"/>
      <c r="S1034" s="210"/>
    </row>
    <row r="1035" spans="1:19" s="211" customFormat="1" ht="15.75">
      <c r="A1035" s="12"/>
      <c r="B1035" s="105" t="s">
        <v>1115</v>
      </c>
      <c r="C1035" s="15" t="s">
        <v>990</v>
      </c>
      <c r="D1035" s="40">
        <v>23</v>
      </c>
      <c r="E1035" s="40">
        <v>8</v>
      </c>
      <c r="F1035" s="40"/>
      <c r="G1035" s="40"/>
      <c r="H1035" s="40"/>
      <c r="I1035" s="40"/>
      <c r="J1035" s="40"/>
      <c r="K1035" s="40"/>
      <c r="L1035" s="40"/>
      <c r="M1035" s="40">
        <v>1</v>
      </c>
      <c r="N1035" s="40">
        <v>2</v>
      </c>
      <c r="O1035" s="40">
        <v>3</v>
      </c>
      <c r="P1035" s="40">
        <v>2</v>
      </c>
      <c r="Q1035" s="229"/>
      <c r="R1035" s="229"/>
      <c r="S1035" s="229"/>
    </row>
    <row r="1036" spans="1:19" s="211" customFormat="1" ht="17.25" customHeight="1">
      <c r="A1036" s="12"/>
      <c r="B1036" s="97" t="s">
        <v>222</v>
      </c>
      <c r="C1036" s="15" t="s">
        <v>476</v>
      </c>
      <c r="D1036" s="40">
        <v>18</v>
      </c>
      <c r="E1036" s="40">
        <v>1</v>
      </c>
      <c r="F1036" s="40"/>
      <c r="G1036" s="40"/>
      <c r="H1036" s="40"/>
      <c r="I1036" s="40"/>
      <c r="J1036" s="40"/>
      <c r="K1036" s="40"/>
      <c r="L1036" s="40"/>
      <c r="M1036" s="40"/>
      <c r="N1036" s="40"/>
      <c r="O1036" s="40">
        <v>1</v>
      </c>
      <c r="P1036" s="40"/>
      <c r="Q1036" s="229"/>
      <c r="R1036" s="229"/>
      <c r="S1036" s="229"/>
    </row>
    <row r="1037" spans="1:19" s="211" customFormat="1" ht="15.75">
      <c r="A1037" s="12"/>
      <c r="B1037" s="97" t="s">
        <v>1114</v>
      </c>
      <c r="C1037" s="15" t="s">
        <v>694</v>
      </c>
      <c r="D1037" s="40">
        <v>8</v>
      </c>
      <c r="E1037" s="40">
        <v>2</v>
      </c>
      <c r="F1037" s="40"/>
      <c r="G1037" s="40"/>
      <c r="H1037" s="40"/>
      <c r="I1037" s="40"/>
      <c r="J1037" s="40"/>
      <c r="K1037" s="40"/>
      <c r="L1037" s="40"/>
      <c r="M1037" s="40"/>
      <c r="N1037" s="40"/>
      <c r="O1037" s="40">
        <v>2</v>
      </c>
      <c r="P1037" s="40"/>
      <c r="Q1037" s="229"/>
      <c r="R1037" s="229"/>
      <c r="S1037" s="229"/>
    </row>
    <row r="1038" spans="1:19" s="211" customFormat="1" ht="15.75">
      <c r="A1038" s="12"/>
      <c r="B1038" s="97" t="s">
        <v>221</v>
      </c>
      <c r="C1038" s="15" t="s">
        <v>612</v>
      </c>
      <c r="D1038" s="40">
        <v>15</v>
      </c>
      <c r="E1038" s="40">
        <v>8</v>
      </c>
      <c r="F1038" s="40"/>
      <c r="G1038" s="40"/>
      <c r="H1038" s="40"/>
      <c r="I1038" s="40"/>
      <c r="J1038" s="40"/>
      <c r="K1038" s="40"/>
      <c r="L1038" s="40"/>
      <c r="M1038" s="40">
        <v>1</v>
      </c>
      <c r="N1038" s="40">
        <v>3</v>
      </c>
      <c r="O1038" s="40">
        <v>2</v>
      </c>
      <c r="P1038" s="40">
        <v>2</v>
      </c>
      <c r="Q1038" s="229"/>
      <c r="R1038" s="229"/>
      <c r="S1038" s="229"/>
    </row>
    <row r="1039" spans="1:19" s="211" customFormat="1" ht="15.75">
      <c r="A1039" s="12"/>
      <c r="B1039" s="97" t="s">
        <v>1068</v>
      </c>
      <c r="C1039" s="15" t="s">
        <v>992</v>
      </c>
      <c r="D1039" s="40">
        <v>32</v>
      </c>
      <c r="E1039" s="40">
        <v>7</v>
      </c>
      <c r="F1039" s="40"/>
      <c r="G1039" s="40"/>
      <c r="H1039" s="40"/>
      <c r="I1039" s="40"/>
      <c r="J1039" s="40"/>
      <c r="K1039" s="40"/>
      <c r="L1039" s="40"/>
      <c r="M1039" s="40">
        <v>1</v>
      </c>
      <c r="N1039" s="40">
        <v>2</v>
      </c>
      <c r="O1039" s="40">
        <v>3</v>
      </c>
      <c r="P1039" s="40">
        <v>1</v>
      </c>
      <c r="Q1039" s="229"/>
      <c r="R1039" s="229"/>
      <c r="S1039" s="229"/>
    </row>
    <row r="1040" spans="1:19" s="211" customFormat="1" ht="15.75">
      <c r="A1040" s="12"/>
      <c r="B1040" s="97" t="s">
        <v>1116</v>
      </c>
      <c r="C1040" s="15" t="s">
        <v>993</v>
      </c>
      <c r="D1040" s="40">
        <v>8</v>
      </c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229"/>
      <c r="R1040" s="229"/>
      <c r="S1040" s="229"/>
    </row>
    <row r="1041" spans="1:19" s="211" customFormat="1" ht="15.75">
      <c r="A1041" s="12"/>
      <c r="B1041" s="97" t="s">
        <v>1117</v>
      </c>
      <c r="C1041" s="15" t="s">
        <v>994</v>
      </c>
      <c r="D1041" s="40">
        <v>25</v>
      </c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229"/>
      <c r="R1041" s="229"/>
      <c r="S1041" s="229"/>
    </row>
    <row r="1042" spans="1:19" s="211" customFormat="1" ht="15.75">
      <c r="A1042" s="12"/>
      <c r="B1042" s="97" t="s">
        <v>38</v>
      </c>
      <c r="C1042" s="364" t="s">
        <v>457</v>
      </c>
      <c r="D1042" s="40">
        <v>21</v>
      </c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229"/>
      <c r="R1042" s="229"/>
      <c r="S1042" s="229"/>
    </row>
    <row r="1043" spans="1:16" s="211" customFormat="1" ht="19.5" customHeight="1">
      <c r="A1043" s="12"/>
      <c r="B1043" s="97" t="s">
        <v>995</v>
      </c>
      <c r="C1043" s="364" t="s">
        <v>888</v>
      </c>
      <c r="D1043" s="40">
        <v>6</v>
      </c>
      <c r="E1043" s="40"/>
      <c r="F1043" s="40" t="s">
        <v>556</v>
      </c>
      <c r="G1043" s="40">
        <v>34</v>
      </c>
      <c r="H1043" s="40">
        <v>34</v>
      </c>
      <c r="I1043" s="40">
        <v>34</v>
      </c>
      <c r="J1043" s="40"/>
      <c r="K1043" s="40">
        <v>34</v>
      </c>
      <c r="L1043" s="40"/>
      <c r="M1043" s="40"/>
      <c r="N1043" s="40"/>
      <c r="O1043" s="40"/>
      <c r="P1043" s="40"/>
    </row>
    <row r="1044" spans="1:188" s="205" customFormat="1" ht="18" customHeight="1">
      <c r="A1044" s="13">
        <v>46</v>
      </c>
      <c r="B1044" s="92" t="s">
        <v>224</v>
      </c>
      <c r="C1044" s="45"/>
      <c r="D1044" s="44">
        <v>1206</v>
      </c>
      <c r="E1044" s="44">
        <v>84</v>
      </c>
      <c r="F1044" s="44">
        <v>751</v>
      </c>
      <c r="G1044" s="44">
        <v>969</v>
      </c>
      <c r="H1044" s="44">
        <v>974</v>
      </c>
      <c r="I1044" s="44">
        <v>979</v>
      </c>
      <c r="J1044" s="44"/>
      <c r="K1044" s="44">
        <v>984</v>
      </c>
      <c r="L1044" s="44">
        <f>L1045+L1049</f>
        <v>4</v>
      </c>
      <c r="M1044" s="44">
        <f>M1045+M1049</f>
        <v>14</v>
      </c>
      <c r="N1044" s="44">
        <f>N1045+N1049</f>
        <v>10</v>
      </c>
      <c r="O1044" s="44">
        <f>O1045+O1049</f>
        <v>9</v>
      </c>
      <c r="P1044" s="44">
        <f>P1045+P1049</f>
        <v>9</v>
      </c>
      <c r="Q1044" s="201" t="s">
        <v>648</v>
      </c>
      <c r="R1044" s="201">
        <v>2</v>
      </c>
      <c r="S1044" s="202" t="s">
        <v>922</v>
      </c>
      <c r="T1044" s="204"/>
      <c r="U1044" s="204"/>
      <c r="V1044" s="204"/>
      <c r="W1044" s="204"/>
      <c r="X1044" s="204"/>
      <c r="Y1044" s="204"/>
      <c r="Z1044" s="204"/>
      <c r="AA1044" s="204"/>
      <c r="AB1044" s="204"/>
      <c r="AC1044" s="204"/>
      <c r="AD1044" s="204"/>
      <c r="AE1044" s="204"/>
      <c r="AF1044" s="204"/>
      <c r="AG1044" s="204"/>
      <c r="AH1044" s="204"/>
      <c r="AI1044" s="204"/>
      <c r="AJ1044" s="204"/>
      <c r="AK1044" s="204"/>
      <c r="AL1044" s="204"/>
      <c r="AM1044" s="204"/>
      <c r="AN1044" s="204"/>
      <c r="AO1044" s="204"/>
      <c r="AP1044" s="204"/>
      <c r="AQ1044" s="204"/>
      <c r="AR1044" s="204"/>
      <c r="AS1044" s="204"/>
      <c r="AT1044" s="204"/>
      <c r="AU1044" s="204"/>
      <c r="AV1044" s="204"/>
      <c r="AW1044" s="204"/>
      <c r="AX1044" s="204"/>
      <c r="AY1044" s="204"/>
      <c r="AZ1044" s="204"/>
      <c r="BA1044" s="204"/>
      <c r="BB1044" s="204"/>
      <c r="BC1044" s="204"/>
      <c r="BD1044" s="204"/>
      <c r="BE1044" s="204"/>
      <c r="BF1044" s="204"/>
      <c r="BG1044" s="204"/>
      <c r="BH1044" s="204"/>
      <c r="BI1044" s="204"/>
      <c r="BJ1044" s="204"/>
      <c r="BK1044" s="204"/>
      <c r="BL1044" s="204"/>
      <c r="BM1044" s="204"/>
      <c r="BN1044" s="204"/>
      <c r="BO1044" s="204"/>
      <c r="BP1044" s="204"/>
      <c r="BQ1044" s="204"/>
      <c r="BR1044" s="204"/>
      <c r="BS1044" s="204"/>
      <c r="BT1044" s="204"/>
      <c r="BU1044" s="204"/>
      <c r="BV1044" s="204"/>
      <c r="BW1044" s="204"/>
      <c r="BX1044" s="204"/>
      <c r="BY1044" s="204"/>
      <c r="BZ1044" s="204"/>
      <c r="CA1044" s="204"/>
      <c r="CB1044" s="204"/>
      <c r="CC1044" s="204"/>
      <c r="CD1044" s="204"/>
      <c r="CE1044" s="204"/>
      <c r="CF1044" s="204"/>
      <c r="CG1044" s="204"/>
      <c r="CH1044" s="204"/>
      <c r="CI1044" s="204"/>
      <c r="CJ1044" s="204"/>
      <c r="CK1044" s="204"/>
      <c r="CL1044" s="204"/>
      <c r="CM1044" s="204"/>
      <c r="CN1044" s="204"/>
      <c r="CO1044" s="204"/>
      <c r="CP1044" s="204"/>
      <c r="CQ1044" s="204"/>
      <c r="CR1044" s="204"/>
      <c r="CS1044" s="204"/>
      <c r="CT1044" s="204"/>
      <c r="CU1044" s="204"/>
      <c r="CV1044" s="204"/>
      <c r="CW1044" s="204"/>
      <c r="CX1044" s="204"/>
      <c r="CY1044" s="204"/>
      <c r="CZ1044" s="204"/>
      <c r="DA1044" s="204"/>
      <c r="DB1044" s="204"/>
      <c r="DC1044" s="204"/>
      <c r="DD1044" s="204"/>
      <c r="DE1044" s="204"/>
      <c r="DF1044" s="204"/>
      <c r="DG1044" s="204"/>
      <c r="DH1044" s="204"/>
      <c r="DI1044" s="204"/>
      <c r="DJ1044" s="204"/>
      <c r="DK1044" s="204"/>
      <c r="DL1044" s="204"/>
      <c r="DM1044" s="204"/>
      <c r="DN1044" s="204"/>
      <c r="DO1044" s="204"/>
      <c r="DP1044" s="204"/>
      <c r="DQ1044" s="204"/>
      <c r="DR1044" s="204"/>
      <c r="DS1044" s="204"/>
      <c r="DT1044" s="204"/>
      <c r="DU1044" s="204"/>
      <c r="DV1044" s="204"/>
      <c r="DW1044" s="204"/>
      <c r="DX1044" s="204"/>
      <c r="DY1044" s="204"/>
      <c r="DZ1044" s="204"/>
      <c r="EA1044" s="204"/>
      <c r="EB1044" s="204"/>
      <c r="EC1044" s="204"/>
      <c r="ED1044" s="204"/>
      <c r="EE1044" s="204"/>
      <c r="EF1044" s="204"/>
      <c r="EG1044" s="204"/>
      <c r="EH1044" s="204"/>
      <c r="EI1044" s="204"/>
      <c r="EJ1044" s="204"/>
      <c r="EK1044" s="204"/>
      <c r="EL1044" s="204"/>
      <c r="EM1044" s="204"/>
      <c r="EN1044" s="204"/>
      <c r="EO1044" s="204"/>
      <c r="EP1044" s="204"/>
      <c r="EQ1044" s="204"/>
      <c r="ER1044" s="204"/>
      <c r="ES1044" s="204"/>
      <c r="ET1044" s="204"/>
      <c r="EU1044" s="204"/>
      <c r="EV1044" s="204"/>
      <c r="EW1044" s="204"/>
      <c r="EX1044" s="204"/>
      <c r="EY1044" s="204"/>
      <c r="EZ1044" s="204"/>
      <c r="FA1044" s="204"/>
      <c r="FB1044" s="204"/>
      <c r="FC1044" s="204"/>
      <c r="FD1044" s="204"/>
      <c r="FE1044" s="204"/>
      <c r="FF1044" s="204"/>
      <c r="FG1044" s="204"/>
      <c r="FH1044" s="204"/>
      <c r="FI1044" s="204"/>
      <c r="FJ1044" s="204"/>
      <c r="FK1044" s="204"/>
      <c r="FL1044" s="204"/>
      <c r="FM1044" s="204"/>
      <c r="FN1044" s="204"/>
      <c r="FO1044" s="204"/>
      <c r="FP1044" s="204"/>
      <c r="FQ1044" s="204"/>
      <c r="FR1044" s="204"/>
      <c r="FS1044" s="204"/>
      <c r="FT1044" s="204"/>
      <c r="FU1044" s="204"/>
      <c r="FV1044" s="204"/>
      <c r="FW1044" s="204"/>
      <c r="FX1044" s="204"/>
      <c r="FY1044" s="204"/>
      <c r="FZ1044" s="204"/>
      <c r="GA1044" s="204"/>
      <c r="GB1044" s="204"/>
      <c r="GC1044" s="204"/>
      <c r="GD1044" s="204"/>
      <c r="GE1044" s="204"/>
      <c r="GF1044" s="204"/>
    </row>
    <row r="1045" spans="1:57" s="213" customFormat="1" ht="18" customHeight="1">
      <c r="A1045" s="13"/>
      <c r="B1045" s="104" t="s">
        <v>669</v>
      </c>
      <c r="C1045" s="15"/>
      <c r="D1045" s="60">
        <v>160</v>
      </c>
      <c r="E1045" s="60">
        <v>20</v>
      </c>
      <c r="F1045" s="40"/>
      <c r="G1045" s="40"/>
      <c r="H1045" s="40"/>
      <c r="I1045" s="40"/>
      <c r="J1045" s="40"/>
      <c r="K1045" s="40"/>
      <c r="L1045" s="60">
        <f>SUM(L1046:L1048)</f>
        <v>2</v>
      </c>
      <c r="M1045" s="60">
        <f>SUM(M1046:M1048)</f>
        <v>9</v>
      </c>
      <c r="N1045" s="60">
        <f>SUM(N1046:N1048)</f>
        <v>6</v>
      </c>
      <c r="O1045" s="60">
        <f>SUM(O1046:O1048)</f>
        <v>7</v>
      </c>
      <c r="P1045" s="60">
        <f>SUM(P1046:P1048)</f>
        <v>6</v>
      </c>
      <c r="Q1045" s="214"/>
      <c r="R1045" s="212"/>
      <c r="S1045" s="212"/>
      <c r="BA1045" s="214"/>
      <c r="BB1045" s="212"/>
      <c r="BC1045" s="212"/>
      <c r="BD1045" s="212"/>
      <c r="BE1045" s="212"/>
    </row>
    <row r="1046" spans="1:57" s="213" customFormat="1" ht="18" customHeight="1">
      <c r="A1046" s="13"/>
      <c r="B1046" s="105" t="s">
        <v>421</v>
      </c>
      <c r="C1046" s="15" t="s">
        <v>1315</v>
      </c>
      <c r="D1046" s="40">
        <v>154</v>
      </c>
      <c r="E1046" s="40">
        <v>19</v>
      </c>
      <c r="F1046" s="40"/>
      <c r="G1046" s="40"/>
      <c r="H1046" s="40"/>
      <c r="I1046" s="40"/>
      <c r="J1046" s="40"/>
      <c r="K1046" s="40"/>
      <c r="L1046" s="40"/>
      <c r="M1046" s="40">
        <v>7</v>
      </c>
      <c r="N1046" s="40">
        <v>5</v>
      </c>
      <c r="O1046" s="40">
        <v>7</v>
      </c>
      <c r="P1046" s="40">
        <v>5</v>
      </c>
      <c r="Q1046" s="214"/>
      <c r="R1046" s="212"/>
      <c r="S1046" s="212"/>
      <c r="BA1046" s="214"/>
      <c r="BB1046" s="212"/>
      <c r="BC1046" s="212"/>
      <c r="BD1046" s="212"/>
      <c r="BE1046" s="212"/>
    </row>
    <row r="1047" spans="1:57" s="213" customFormat="1" ht="18" customHeight="1">
      <c r="A1047" s="13"/>
      <c r="B1047" s="105" t="s">
        <v>980</v>
      </c>
      <c r="C1047" s="15" t="s">
        <v>981</v>
      </c>
      <c r="D1047" s="40">
        <v>3</v>
      </c>
      <c r="E1047" s="40"/>
      <c r="F1047" s="40"/>
      <c r="G1047" s="40"/>
      <c r="H1047" s="40"/>
      <c r="I1047" s="40"/>
      <c r="J1047" s="40"/>
      <c r="K1047" s="40"/>
      <c r="L1047" s="40"/>
      <c r="M1047" s="40">
        <v>1</v>
      </c>
      <c r="N1047" s="40"/>
      <c r="O1047" s="40"/>
      <c r="P1047" s="40">
        <v>1</v>
      </c>
      <c r="Q1047" s="214"/>
      <c r="R1047" s="212"/>
      <c r="S1047" s="212"/>
      <c r="BA1047" s="214"/>
      <c r="BB1047" s="212"/>
      <c r="BC1047" s="212"/>
      <c r="BD1047" s="212"/>
      <c r="BE1047" s="212"/>
    </row>
    <row r="1048" spans="1:57" s="213" customFormat="1" ht="18" customHeight="1">
      <c r="A1048" s="13"/>
      <c r="B1048" s="105" t="s">
        <v>1118</v>
      </c>
      <c r="C1048" s="15" t="s">
        <v>1121</v>
      </c>
      <c r="D1048" s="40">
        <v>3</v>
      </c>
      <c r="E1048" s="40">
        <v>1</v>
      </c>
      <c r="F1048" s="40">
        <v>3</v>
      </c>
      <c r="G1048" s="40">
        <v>4</v>
      </c>
      <c r="H1048" s="40">
        <v>5</v>
      </c>
      <c r="I1048" s="40">
        <v>6</v>
      </c>
      <c r="J1048" s="40"/>
      <c r="K1048" s="40">
        <v>7</v>
      </c>
      <c r="L1048" s="40">
        <v>2</v>
      </c>
      <c r="M1048" s="40">
        <v>1</v>
      </c>
      <c r="N1048" s="40">
        <v>1</v>
      </c>
      <c r="O1048" s="40"/>
      <c r="P1048" s="40"/>
      <c r="Q1048" s="214"/>
      <c r="R1048" s="212"/>
      <c r="S1048" s="212"/>
      <c r="BA1048" s="214"/>
      <c r="BB1048" s="212"/>
      <c r="BC1048" s="212"/>
      <c r="BD1048" s="212"/>
      <c r="BE1048" s="212"/>
    </row>
    <row r="1049" spans="1:16" s="207" customFormat="1" ht="18" customHeight="1">
      <c r="A1049" s="50"/>
      <c r="B1049" s="93" t="s">
        <v>37</v>
      </c>
      <c r="C1049" s="94"/>
      <c r="D1049" s="60">
        <f>D1050+D1051+D1052</f>
        <v>26</v>
      </c>
      <c r="E1049" s="60">
        <f aca="true" t="shared" si="43" ref="E1049:P1049">E1050+E1051+E1052</f>
        <v>2</v>
      </c>
      <c r="F1049" s="60" t="e">
        <f t="shared" si="43"/>
        <v>#VALUE!</v>
      </c>
      <c r="G1049" s="60">
        <f t="shared" si="43"/>
        <v>3</v>
      </c>
      <c r="H1049" s="60">
        <f t="shared" si="43"/>
        <v>4</v>
      </c>
      <c r="I1049" s="60">
        <f t="shared" si="43"/>
        <v>4</v>
      </c>
      <c r="J1049" s="60">
        <f t="shared" si="43"/>
        <v>0</v>
      </c>
      <c r="K1049" s="60">
        <f t="shared" si="43"/>
        <v>5</v>
      </c>
      <c r="L1049" s="60">
        <f t="shared" si="43"/>
        <v>2</v>
      </c>
      <c r="M1049" s="60">
        <f t="shared" si="43"/>
        <v>5</v>
      </c>
      <c r="N1049" s="60">
        <f t="shared" si="43"/>
        <v>4</v>
      </c>
      <c r="O1049" s="60">
        <f t="shared" si="43"/>
        <v>2</v>
      </c>
      <c r="P1049" s="60">
        <f t="shared" si="43"/>
        <v>3</v>
      </c>
    </row>
    <row r="1050" spans="1:19" s="211" customFormat="1" ht="18" customHeight="1">
      <c r="A1050" s="12"/>
      <c r="B1050" s="97" t="s">
        <v>996</v>
      </c>
      <c r="C1050" s="15" t="s">
        <v>1122</v>
      </c>
      <c r="D1050" s="40">
        <v>3</v>
      </c>
      <c r="E1050" s="40"/>
      <c r="F1050" s="40" t="s">
        <v>556</v>
      </c>
      <c r="G1050" s="40">
        <v>3</v>
      </c>
      <c r="H1050" s="40">
        <v>4</v>
      </c>
      <c r="I1050" s="40">
        <v>4</v>
      </c>
      <c r="J1050" s="40"/>
      <c r="K1050" s="40">
        <v>5</v>
      </c>
      <c r="L1050" s="40">
        <v>2</v>
      </c>
      <c r="M1050" s="40">
        <v>1</v>
      </c>
      <c r="N1050" s="40">
        <v>1</v>
      </c>
      <c r="O1050" s="40">
        <v>1</v>
      </c>
      <c r="P1050" s="40">
        <v>1</v>
      </c>
      <c r="Q1050" s="210"/>
      <c r="R1050" s="210"/>
      <c r="S1050" s="210"/>
    </row>
    <row r="1051" spans="1:19" s="211" customFormat="1" ht="18" customHeight="1">
      <c r="A1051" s="12"/>
      <c r="B1051" s="97" t="s">
        <v>1119</v>
      </c>
      <c r="C1051" s="15" t="s">
        <v>1123</v>
      </c>
      <c r="D1051" s="40">
        <v>7</v>
      </c>
      <c r="E1051" s="40">
        <v>2</v>
      </c>
      <c r="F1051" s="40"/>
      <c r="G1051" s="40"/>
      <c r="H1051" s="40"/>
      <c r="I1051" s="40"/>
      <c r="J1051" s="40"/>
      <c r="K1051" s="40"/>
      <c r="L1051" s="40"/>
      <c r="M1051" s="40">
        <v>1</v>
      </c>
      <c r="N1051" s="40">
        <v>1</v>
      </c>
      <c r="O1051" s="40"/>
      <c r="P1051" s="40">
        <v>1</v>
      </c>
      <c r="Q1051" s="210"/>
      <c r="R1051" s="210"/>
      <c r="S1051" s="210"/>
    </row>
    <row r="1052" spans="1:19" s="211" customFormat="1" ht="18" customHeight="1">
      <c r="A1052" s="12"/>
      <c r="B1052" s="97" t="s">
        <v>1120</v>
      </c>
      <c r="C1052" s="15" t="s">
        <v>571</v>
      </c>
      <c r="D1052" s="40">
        <v>16</v>
      </c>
      <c r="E1052" s="40"/>
      <c r="F1052" s="40"/>
      <c r="G1052" s="40"/>
      <c r="H1052" s="40"/>
      <c r="I1052" s="40"/>
      <c r="J1052" s="40"/>
      <c r="K1052" s="40"/>
      <c r="L1052" s="40"/>
      <c r="M1052" s="40">
        <v>3</v>
      </c>
      <c r="N1052" s="40">
        <v>2</v>
      </c>
      <c r="O1052" s="40">
        <v>1</v>
      </c>
      <c r="P1052" s="40">
        <v>1</v>
      </c>
      <c r="Q1052" s="210"/>
      <c r="R1052" s="210"/>
      <c r="S1052" s="210"/>
    </row>
    <row r="1053" spans="1:188" s="57" customFormat="1" ht="18" customHeight="1">
      <c r="A1053" s="13">
        <v>47</v>
      </c>
      <c r="B1053" s="92" t="s">
        <v>225</v>
      </c>
      <c r="C1053" s="45"/>
      <c r="D1053" s="44">
        <v>1225</v>
      </c>
      <c r="E1053" s="44">
        <v>111</v>
      </c>
      <c r="F1053" s="44"/>
      <c r="G1053" s="44"/>
      <c r="H1053" s="44"/>
      <c r="I1053" s="44"/>
      <c r="J1053" s="44"/>
      <c r="K1053" s="44"/>
      <c r="L1053" s="44">
        <f>SUM(L1054,L1058,L1060)</f>
        <v>61</v>
      </c>
      <c r="M1053" s="44">
        <f>SUM(M1054,M1058,M1060)</f>
        <v>32</v>
      </c>
      <c r="N1053" s="44">
        <f>SUM(N1054,N1058,N1060)</f>
        <v>33</v>
      </c>
      <c r="O1053" s="44">
        <f>SUM(O1054,O1058,O1060)</f>
        <v>48</v>
      </c>
      <c r="P1053" s="44">
        <f>SUM(P1054,P1058,P1060)</f>
        <v>46</v>
      </c>
      <c r="Q1053" s="54" t="s">
        <v>648</v>
      </c>
      <c r="R1053" s="54">
        <v>2</v>
      </c>
      <c r="S1053" s="55" t="s">
        <v>921</v>
      </c>
      <c r="T1053" s="56"/>
      <c r="U1053" s="56"/>
      <c r="V1053" s="56"/>
      <c r="W1053" s="56"/>
      <c r="X1053" s="56"/>
      <c r="Y1053" s="56"/>
      <c r="Z1053" s="56"/>
      <c r="AA1053" s="56"/>
      <c r="AB1053" s="56"/>
      <c r="AC1053" s="56"/>
      <c r="AD1053" s="56"/>
      <c r="AE1053" s="56"/>
      <c r="AF1053" s="56"/>
      <c r="AG1053" s="56"/>
      <c r="AH1053" s="56"/>
      <c r="AI1053" s="56"/>
      <c r="AJ1053" s="56"/>
      <c r="AK1053" s="56"/>
      <c r="AL1053" s="56"/>
      <c r="AM1053" s="56"/>
      <c r="AN1053" s="56"/>
      <c r="AO1053" s="56"/>
      <c r="AP1053" s="56"/>
      <c r="AQ1053" s="56"/>
      <c r="AR1053" s="56"/>
      <c r="AS1053" s="56"/>
      <c r="AT1053" s="56"/>
      <c r="AU1053" s="56"/>
      <c r="AV1053" s="56"/>
      <c r="AW1053" s="56"/>
      <c r="AX1053" s="56"/>
      <c r="AY1053" s="56"/>
      <c r="AZ1053" s="56"/>
      <c r="BA1053" s="56"/>
      <c r="BB1053" s="56"/>
      <c r="BC1053" s="56"/>
      <c r="BD1053" s="56"/>
      <c r="BE1053" s="56"/>
      <c r="BF1053" s="56"/>
      <c r="BG1053" s="56"/>
      <c r="BH1053" s="56"/>
      <c r="BI1053" s="56"/>
      <c r="BJ1053" s="56"/>
      <c r="BK1053" s="56"/>
      <c r="BL1053" s="56"/>
      <c r="BM1053" s="56"/>
      <c r="BN1053" s="56"/>
      <c r="BO1053" s="56"/>
      <c r="BP1053" s="56"/>
      <c r="BQ1053" s="56"/>
      <c r="BR1053" s="56"/>
      <c r="BS1053" s="56"/>
      <c r="BT1053" s="56"/>
      <c r="BU1053" s="56"/>
      <c r="BV1053" s="56"/>
      <c r="BW1053" s="56"/>
      <c r="BX1053" s="56"/>
      <c r="BY1053" s="56"/>
      <c r="BZ1053" s="56"/>
      <c r="CA1053" s="56"/>
      <c r="CB1053" s="56"/>
      <c r="CC1053" s="56"/>
      <c r="CD1053" s="56"/>
      <c r="CE1053" s="56"/>
      <c r="CF1053" s="56"/>
      <c r="CG1053" s="56"/>
      <c r="CH1053" s="56"/>
      <c r="CI1053" s="56"/>
      <c r="CJ1053" s="56"/>
      <c r="CK1053" s="56"/>
      <c r="CL1053" s="56"/>
      <c r="CM1053" s="56"/>
      <c r="CN1053" s="56"/>
      <c r="CO1053" s="56"/>
      <c r="CP1053" s="56"/>
      <c r="CQ1053" s="56"/>
      <c r="CR1053" s="56"/>
      <c r="CS1053" s="56"/>
      <c r="CT1053" s="56"/>
      <c r="CU1053" s="56"/>
      <c r="CV1053" s="56"/>
      <c r="CW1053" s="56"/>
      <c r="CX1053" s="56"/>
      <c r="CY1053" s="56"/>
      <c r="CZ1053" s="56"/>
      <c r="DA1053" s="56"/>
      <c r="DB1053" s="56"/>
      <c r="DC1053" s="56"/>
      <c r="DD1053" s="56"/>
      <c r="DE1053" s="56"/>
      <c r="DF1053" s="56"/>
      <c r="DG1053" s="56"/>
      <c r="DH1053" s="56"/>
      <c r="DI1053" s="56"/>
      <c r="DJ1053" s="56"/>
      <c r="DK1053" s="56"/>
      <c r="DL1053" s="56"/>
      <c r="DM1053" s="56"/>
      <c r="DN1053" s="56"/>
      <c r="DO1053" s="56"/>
      <c r="DP1053" s="56"/>
      <c r="DQ1053" s="56"/>
      <c r="DR1053" s="56"/>
      <c r="DS1053" s="56"/>
      <c r="DT1053" s="56"/>
      <c r="DU1053" s="56"/>
      <c r="DV1053" s="56"/>
      <c r="DW1053" s="56"/>
      <c r="DX1053" s="56"/>
      <c r="DY1053" s="56"/>
      <c r="DZ1053" s="56"/>
      <c r="EA1053" s="56"/>
      <c r="EB1053" s="56"/>
      <c r="EC1053" s="56"/>
      <c r="ED1053" s="56"/>
      <c r="EE1053" s="56"/>
      <c r="EF1053" s="56"/>
      <c r="EG1053" s="56"/>
      <c r="EH1053" s="56"/>
      <c r="EI1053" s="56"/>
      <c r="EJ1053" s="56"/>
      <c r="EK1053" s="56"/>
      <c r="EL1053" s="56"/>
      <c r="EM1053" s="56"/>
      <c r="EN1053" s="56"/>
      <c r="EO1053" s="56"/>
      <c r="EP1053" s="56"/>
      <c r="EQ1053" s="56"/>
      <c r="ER1053" s="56"/>
      <c r="ES1053" s="56"/>
      <c r="ET1053" s="56"/>
      <c r="EU1053" s="56"/>
      <c r="EV1053" s="56"/>
      <c r="EW1053" s="56"/>
      <c r="EX1053" s="56"/>
      <c r="EY1053" s="56"/>
      <c r="EZ1053" s="56"/>
      <c r="FA1053" s="56"/>
      <c r="FB1053" s="56"/>
      <c r="FC1053" s="56"/>
      <c r="FD1053" s="56"/>
      <c r="FE1053" s="56"/>
      <c r="FF1053" s="56"/>
      <c r="FG1053" s="56"/>
      <c r="FH1053" s="56"/>
      <c r="FI1053" s="56"/>
      <c r="FJ1053" s="56"/>
      <c r="FK1053" s="56"/>
      <c r="FL1053" s="56"/>
      <c r="FM1053" s="56"/>
      <c r="FN1053" s="56"/>
      <c r="FO1053" s="56"/>
      <c r="FP1053" s="56"/>
      <c r="FQ1053" s="56"/>
      <c r="FR1053" s="56"/>
      <c r="FS1053" s="56"/>
      <c r="FT1053" s="56"/>
      <c r="FU1053" s="56"/>
      <c r="FV1053" s="56"/>
      <c r="FW1053" s="56"/>
      <c r="FX1053" s="56"/>
      <c r="FY1053" s="56"/>
      <c r="FZ1053" s="56"/>
      <c r="GA1053" s="56"/>
      <c r="GB1053" s="56"/>
      <c r="GC1053" s="56"/>
      <c r="GD1053" s="56"/>
      <c r="GE1053" s="56"/>
      <c r="GF1053" s="56"/>
    </row>
    <row r="1054" spans="1:57" s="43" customFormat="1" ht="15.75">
      <c r="A1054" s="13"/>
      <c r="B1054" s="93" t="s">
        <v>669</v>
      </c>
      <c r="C1054" s="15"/>
      <c r="D1054" s="40"/>
      <c r="E1054" s="40"/>
      <c r="F1054" s="40"/>
      <c r="G1054" s="40"/>
      <c r="H1054" s="40"/>
      <c r="I1054" s="40"/>
      <c r="J1054" s="40"/>
      <c r="K1054" s="40"/>
      <c r="L1054" s="60">
        <f aca="true" t="shared" si="44" ref="L1054:S1054">SUM(L1055:L1057)</f>
        <v>30</v>
      </c>
      <c r="M1054" s="60">
        <f t="shared" si="44"/>
        <v>8</v>
      </c>
      <c r="N1054" s="60">
        <f t="shared" si="44"/>
        <v>9</v>
      </c>
      <c r="O1054" s="60">
        <f t="shared" si="44"/>
        <v>14</v>
      </c>
      <c r="P1054" s="60">
        <f t="shared" si="44"/>
        <v>12</v>
      </c>
      <c r="Q1054" s="257">
        <f t="shared" si="44"/>
        <v>0</v>
      </c>
      <c r="R1054" s="60">
        <f t="shared" si="44"/>
        <v>0</v>
      </c>
      <c r="S1054" s="60">
        <f t="shared" si="44"/>
        <v>0</v>
      </c>
      <c r="T1054" s="46"/>
      <c r="U1054" s="46"/>
      <c r="V1054" s="46"/>
      <c r="W1054" s="46"/>
      <c r="X1054" s="46"/>
      <c r="Y1054" s="46"/>
      <c r="Z1054" s="46"/>
      <c r="AA1054" s="46"/>
      <c r="AB1054" s="46"/>
      <c r="AC1054" s="46"/>
      <c r="AD1054" s="46"/>
      <c r="AE1054" s="46"/>
      <c r="AF1054" s="46"/>
      <c r="AG1054" s="46"/>
      <c r="AH1054" s="46"/>
      <c r="AI1054" s="46"/>
      <c r="AJ1054" s="46"/>
      <c r="AK1054" s="46"/>
      <c r="AL1054" s="46"/>
      <c r="AM1054" s="46"/>
      <c r="AN1054" s="46"/>
      <c r="AO1054" s="46"/>
      <c r="AP1054" s="46"/>
      <c r="AQ1054" s="46"/>
      <c r="AR1054" s="46"/>
      <c r="AS1054" s="46"/>
      <c r="AT1054" s="46"/>
      <c r="AU1054" s="46"/>
      <c r="AV1054" s="46"/>
      <c r="BA1054" s="49"/>
      <c r="BB1054" s="42"/>
      <c r="BC1054" s="42"/>
      <c r="BD1054" s="42"/>
      <c r="BE1054" s="42"/>
    </row>
    <row r="1055" spans="1:57" s="43" customFormat="1" ht="15.75" customHeight="1">
      <c r="A1055" s="13"/>
      <c r="B1055" s="97" t="s">
        <v>414</v>
      </c>
      <c r="C1055" s="15" t="s">
        <v>1026</v>
      </c>
      <c r="D1055" s="40"/>
      <c r="E1055" s="51"/>
      <c r="F1055" s="40"/>
      <c r="G1055" s="40"/>
      <c r="H1055" s="40"/>
      <c r="I1055" s="40"/>
      <c r="J1055" s="40"/>
      <c r="K1055" s="40"/>
      <c r="L1055" s="40">
        <v>15</v>
      </c>
      <c r="M1055" s="40">
        <v>5</v>
      </c>
      <c r="N1055" s="40">
        <v>5</v>
      </c>
      <c r="O1055" s="40">
        <v>5</v>
      </c>
      <c r="P1055" s="40">
        <v>5</v>
      </c>
      <c r="Q1055" s="70"/>
      <c r="R1055" s="41"/>
      <c r="S1055" s="41"/>
      <c r="T1055" s="46"/>
      <c r="U1055" s="46"/>
      <c r="V1055" s="46"/>
      <c r="W1055" s="46"/>
      <c r="X1055" s="46"/>
      <c r="Y1055" s="46"/>
      <c r="Z1055" s="46"/>
      <c r="AA1055" s="46"/>
      <c r="AB1055" s="46"/>
      <c r="AC1055" s="46"/>
      <c r="AD1055" s="46"/>
      <c r="AE1055" s="46"/>
      <c r="AF1055" s="46"/>
      <c r="AG1055" s="46"/>
      <c r="AH1055" s="46"/>
      <c r="AI1055" s="46"/>
      <c r="AJ1055" s="46"/>
      <c r="AK1055" s="46"/>
      <c r="AL1055" s="46"/>
      <c r="AM1055" s="46"/>
      <c r="AN1055" s="46"/>
      <c r="AO1055" s="46"/>
      <c r="AP1055" s="46"/>
      <c r="AQ1055" s="46"/>
      <c r="AR1055" s="46"/>
      <c r="AS1055" s="46"/>
      <c r="AT1055" s="46"/>
      <c r="AU1055" s="46"/>
      <c r="AV1055" s="46"/>
      <c r="BA1055" s="49"/>
      <c r="BB1055" s="42"/>
      <c r="BC1055" s="42"/>
      <c r="BD1055" s="42"/>
      <c r="BE1055" s="42"/>
    </row>
    <row r="1056" spans="1:57" s="43" customFormat="1" ht="15.75" customHeight="1">
      <c r="A1056" s="13"/>
      <c r="B1056" s="97" t="s">
        <v>784</v>
      </c>
      <c r="C1056" s="15" t="s">
        <v>785</v>
      </c>
      <c r="D1056" s="40"/>
      <c r="E1056" s="51"/>
      <c r="F1056" s="40"/>
      <c r="G1056" s="40"/>
      <c r="H1056" s="40"/>
      <c r="I1056" s="40"/>
      <c r="J1056" s="40"/>
      <c r="K1056" s="40"/>
      <c r="L1056" s="40">
        <v>8</v>
      </c>
      <c r="M1056" s="40">
        <v>1</v>
      </c>
      <c r="N1056" s="40">
        <v>2</v>
      </c>
      <c r="O1056" s="40">
        <v>3</v>
      </c>
      <c r="P1056" s="40">
        <v>1</v>
      </c>
      <c r="Q1056" s="70"/>
      <c r="R1056" s="41"/>
      <c r="S1056" s="41"/>
      <c r="T1056" s="46"/>
      <c r="U1056" s="46"/>
      <c r="V1056" s="46"/>
      <c r="W1056" s="46"/>
      <c r="X1056" s="46"/>
      <c r="Y1056" s="46"/>
      <c r="Z1056" s="46"/>
      <c r="AA1056" s="46"/>
      <c r="AB1056" s="46"/>
      <c r="AC1056" s="46"/>
      <c r="AD1056" s="46"/>
      <c r="AE1056" s="46"/>
      <c r="AF1056" s="46"/>
      <c r="AG1056" s="46"/>
      <c r="AH1056" s="46"/>
      <c r="AI1056" s="46"/>
      <c r="AJ1056" s="46"/>
      <c r="AK1056" s="46"/>
      <c r="AL1056" s="46"/>
      <c r="AM1056" s="46"/>
      <c r="AN1056" s="46"/>
      <c r="AO1056" s="46"/>
      <c r="AP1056" s="46"/>
      <c r="AQ1056" s="46"/>
      <c r="AR1056" s="46"/>
      <c r="AS1056" s="46"/>
      <c r="AT1056" s="46"/>
      <c r="AU1056" s="46"/>
      <c r="AV1056" s="46"/>
      <c r="BA1056" s="49"/>
      <c r="BB1056" s="42"/>
      <c r="BC1056" s="42"/>
      <c r="BD1056" s="42"/>
      <c r="BE1056" s="42"/>
    </row>
    <row r="1057" spans="1:57" s="43" customFormat="1" ht="15.75" customHeight="1">
      <c r="A1057" s="13"/>
      <c r="B1057" s="97" t="s">
        <v>1320</v>
      </c>
      <c r="C1057" s="29" t="s">
        <v>1322</v>
      </c>
      <c r="D1057" s="40"/>
      <c r="E1057" s="51"/>
      <c r="F1057" s="40"/>
      <c r="G1057" s="40"/>
      <c r="H1057" s="40"/>
      <c r="I1057" s="40"/>
      <c r="J1057" s="40"/>
      <c r="K1057" s="40"/>
      <c r="L1057" s="40">
        <v>7</v>
      </c>
      <c r="M1057" s="40">
        <v>2</v>
      </c>
      <c r="N1057" s="40">
        <v>2</v>
      </c>
      <c r="O1057" s="40">
        <v>6</v>
      </c>
      <c r="P1057" s="40">
        <v>6</v>
      </c>
      <c r="Q1057" s="70"/>
      <c r="R1057" s="41"/>
      <c r="S1057" s="41"/>
      <c r="T1057" s="46"/>
      <c r="U1057" s="46"/>
      <c r="V1057" s="46"/>
      <c r="W1057" s="46"/>
      <c r="X1057" s="46"/>
      <c r="Y1057" s="46"/>
      <c r="Z1057" s="46"/>
      <c r="AA1057" s="46"/>
      <c r="AB1057" s="46"/>
      <c r="AC1057" s="46"/>
      <c r="AD1057" s="46"/>
      <c r="AE1057" s="46"/>
      <c r="AF1057" s="46"/>
      <c r="AG1057" s="46"/>
      <c r="AH1057" s="46"/>
      <c r="AI1057" s="46"/>
      <c r="AJ1057" s="46"/>
      <c r="AK1057" s="46"/>
      <c r="AL1057" s="46"/>
      <c r="AM1057" s="46"/>
      <c r="AN1057" s="46"/>
      <c r="AO1057" s="46"/>
      <c r="AP1057" s="46"/>
      <c r="AQ1057" s="46"/>
      <c r="AR1057" s="46"/>
      <c r="AS1057" s="46"/>
      <c r="AT1057" s="46"/>
      <c r="AU1057" s="46"/>
      <c r="AV1057" s="46"/>
      <c r="BA1057" s="49"/>
      <c r="BB1057" s="42"/>
      <c r="BC1057" s="42"/>
      <c r="BD1057" s="42"/>
      <c r="BE1057" s="42"/>
    </row>
    <row r="1058" spans="1:57" s="43" customFormat="1" ht="15.75">
      <c r="A1058" s="13"/>
      <c r="B1058" s="93" t="s">
        <v>670</v>
      </c>
      <c r="C1058" s="15"/>
      <c r="D1058" s="40"/>
      <c r="E1058" s="40"/>
      <c r="F1058" s="40"/>
      <c r="G1058" s="40"/>
      <c r="H1058" s="40"/>
      <c r="I1058" s="40"/>
      <c r="J1058" s="40"/>
      <c r="K1058" s="40"/>
      <c r="L1058" s="60">
        <f>L1059</f>
        <v>15</v>
      </c>
      <c r="M1058" s="60">
        <f>M1059</f>
        <v>14</v>
      </c>
      <c r="N1058" s="60">
        <f>N1059</f>
        <v>14</v>
      </c>
      <c r="O1058" s="60">
        <f>O1059</f>
        <v>20</v>
      </c>
      <c r="P1058" s="60">
        <f>P1059</f>
        <v>20</v>
      </c>
      <c r="Q1058" s="70"/>
      <c r="R1058" s="41"/>
      <c r="S1058" s="41"/>
      <c r="T1058" s="46"/>
      <c r="U1058" s="46"/>
      <c r="V1058" s="46"/>
      <c r="W1058" s="46"/>
      <c r="X1058" s="46"/>
      <c r="Y1058" s="46"/>
      <c r="Z1058" s="46"/>
      <c r="AA1058" s="46"/>
      <c r="AB1058" s="46"/>
      <c r="AC1058" s="46"/>
      <c r="AD1058" s="46"/>
      <c r="AE1058" s="46"/>
      <c r="AF1058" s="46"/>
      <c r="AG1058" s="46"/>
      <c r="AH1058" s="46"/>
      <c r="AI1058" s="46"/>
      <c r="AJ1058" s="46"/>
      <c r="AK1058" s="46"/>
      <c r="AL1058" s="46"/>
      <c r="AM1058" s="46"/>
      <c r="AN1058" s="46"/>
      <c r="AO1058" s="46"/>
      <c r="AP1058" s="46"/>
      <c r="AQ1058" s="46"/>
      <c r="AR1058" s="46"/>
      <c r="AS1058" s="46"/>
      <c r="AT1058" s="46"/>
      <c r="AU1058" s="46"/>
      <c r="AV1058" s="46"/>
      <c r="BA1058" s="49"/>
      <c r="BB1058" s="42"/>
      <c r="BC1058" s="42"/>
      <c r="BD1058" s="42"/>
      <c r="BE1058" s="42"/>
    </row>
    <row r="1059" spans="1:57" s="43" customFormat="1" ht="17.25" customHeight="1">
      <c r="A1059" s="13"/>
      <c r="B1059" s="97" t="s">
        <v>408</v>
      </c>
      <c r="C1059" s="29">
        <v>15100151</v>
      </c>
      <c r="D1059" s="51"/>
      <c r="E1059" s="51"/>
      <c r="F1059" s="51" t="s">
        <v>556</v>
      </c>
      <c r="G1059" s="51">
        <v>10</v>
      </c>
      <c r="H1059" s="51">
        <v>10</v>
      </c>
      <c r="I1059" s="51">
        <v>11</v>
      </c>
      <c r="J1059" s="51"/>
      <c r="K1059" s="51">
        <v>11</v>
      </c>
      <c r="L1059" s="40">
        <v>15</v>
      </c>
      <c r="M1059" s="40">
        <v>14</v>
      </c>
      <c r="N1059" s="40">
        <v>14</v>
      </c>
      <c r="O1059" s="40">
        <v>20</v>
      </c>
      <c r="P1059" s="40">
        <v>20</v>
      </c>
      <c r="Q1059" s="70"/>
      <c r="R1059" s="41"/>
      <c r="S1059" s="41"/>
      <c r="T1059" s="46"/>
      <c r="U1059" s="46"/>
      <c r="V1059" s="46"/>
      <c r="W1059" s="46"/>
      <c r="X1059" s="46"/>
      <c r="Y1059" s="46"/>
      <c r="Z1059" s="46"/>
      <c r="AA1059" s="46"/>
      <c r="AB1059" s="46"/>
      <c r="AC1059" s="46"/>
      <c r="AD1059" s="46"/>
      <c r="AE1059" s="46"/>
      <c r="AF1059" s="46"/>
      <c r="AG1059" s="46"/>
      <c r="AH1059" s="46"/>
      <c r="AI1059" s="46"/>
      <c r="AJ1059" s="46"/>
      <c r="AK1059" s="46"/>
      <c r="AL1059" s="46"/>
      <c r="AM1059" s="46"/>
      <c r="AN1059" s="46"/>
      <c r="AO1059" s="46"/>
      <c r="AP1059" s="46"/>
      <c r="AQ1059" s="46"/>
      <c r="AR1059" s="46"/>
      <c r="AS1059" s="46"/>
      <c r="AT1059" s="46"/>
      <c r="AU1059" s="46"/>
      <c r="AV1059" s="46"/>
      <c r="BA1059" s="49"/>
      <c r="BB1059" s="42"/>
      <c r="BC1059" s="42"/>
      <c r="BD1059" s="42"/>
      <c r="BE1059" s="42"/>
    </row>
    <row r="1060" spans="1:57" s="43" customFormat="1" ht="15.75">
      <c r="A1060" s="13"/>
      <c r="B1060" s="93" t="s">
        <v>37</v>
      </c>
      <c r="C1060" s="15"/>
      <c r="D1060" s="40"/>
      <c r="E1060" s="40"/>
      <c r="F1060" s="40"/>
      <c r="G1060" s="40"/>
      <c r="H1060" s="40"/>
      <c r="I1060" s="40"/>
      <c r="J1060" s="40"/>
      <c r="K1060" s="40"/>
      <c r="L1060" s="60">
        <f>SUM(L1061:L1066)</f>
        <v>16</v>
      </c>
      <c r="M1060" s="60">
        <f aca="true" t="shared" si="45" ref="M1060:S1060">SUM(M1061:M1066)</f>
        <v>10</v>
      </c>
      <c r="N1060" s="60">
        <f t="shared" si="45"/>
        <v>10</v>
      </c>
      <c r="O1060" s="60">
        <f t="shared" si="45"/>
        <v>14</v>
      </c>
      <c r="P1060" s="60">
        <f t="shared" si="45"/>
        <v>14</v>
      </c>
      <c r="Q1060" s="256">
        <f t="shared" si="45"/>
        <v>0</v>
      </c>
      <c r="R1060" s="100">
        <f t="shared" si="45"/>
        <v>0</v>
      </c>
      <c r="S1060" s="100">
        <f t="shared" si="45"/>
        <v>0</v>
      </c>
      <c r="T1060" s="46"/>
      <c r="U1060" s="46"/>
      <c r="V1060" s="46"/>
      <c r="W1060" s="46"/>
      <c r="X1060" s="46"/>
      <c r="Y1060" s="46"/>
      <c r="Z1060" s="46"/>
      <c r="AA1060" s="46"/>
      <c r="AB1060" s="46"/>
      <c r="AC1060" s="46"/>
      <c r="AD1060" s="46"/>
      <c r="AE1060" s="46"/>
      <c r="AF1060" s="46"/>
      <c r="AG1060" s="46"/>
      <c r="AH1060" s="46"/>
      <c r="AI1060" s="46"/>
      <c r="AJ1060" s="46"/>
      <c r="AK1060" s="46"/>
      <c r="AL1060" s="46"/>
      <c r="AM1060" s="46"/>
      <c r="AN1060" s="46"/>
      <c r="AO1060" s="46"/>
      <c r="AP1060" s="46"/>
      <c r="AQ1060" s="46"/>
      <c r="AR1060" s="46"/>
      <c r="AS1060" s="46"/>
      <c r="AT1060" s="46"/>
      <c r="AU1060" s="46"/>
      <c r="AV1060" s="46"/>
      <c r="BA1060" s="49"/>
      <c r="BB1060" s="42"/>
      <c r="BC1060" s="42"/>
      <c r="BD1060" s="42"/>
      <c r="BE1060" s="42"/>
    </row>
    <row r="1061" spans="1:57" s="43" customFormat="1" ht="18.75" customHeight="1">
      <c r="A1061" s="13"/>
      <c r="B1061" s="97" t="s">
        <v>887</v>
      </c>
      <c r="C1061" s="66" t="s">
        <v>888</v>
      </c>
      <c r="D1061" s="51"/>
      <c r="E1061" s="51"/>
      <c r="F1061" s="51" t="s">
        <v>556</v>
      </c>
      <c r="G1061" s="51">
        <v>2</v>
      </c>
      <c r="H1061" s="51">
        <v>2</v>
      </c>
      <c r="I1061" s="51">
        <v>2</v>
      </c>
      <c r="J1061" s="51"/>
      <c r="K1061" s="51">
        <v>2</v>
      </c>
      <c r="L1061" s="40">
        <v>5</v>
      </c>
      <c r="M1061" s="40">
        <v>8</v>
      </c>
      <c r="N1061" s="40">
        <v>8</v>
      </c>
      <c r="O1061" s="40">
        <v>12</v>
      </c>
      <c r="P1061" s="40">
        <v>12</v>
      </c>
      <c r="Q1061" s="70"/>
      <c r="R1061" s="41"/>
      <c r="S1061" s="41"/>
      <c r="T1061" s="46"/>
      <c r="U1061" s="46"/>
      <c r="V1061" s="46"/>
      <c r="W1061" s="46"/>
      <c r="X1061" s="46"/>
      <c r="Y1061" s="46"/>
      <c r="Z1061" s="46"/>
      <c r="AA1061" s="46"/>
      <c r="AB1061" s="46"/>
      <c r="AC1061" s="46"/>
      <c r="AD1061" s="46"/>
      <c r="AE1061" s="46"/>
      <c r="AF1061" s="46"/>
      <c r="AG1061" s="46"/>
      <c r="AH1061" s="46"/>
      <c r="AI1061" s="46"/>
      <c r="AJ1061" s="46"/>
      <c r="AK1061" s="46"/>
      <c r="AL1061" s="46"/>
      <c r="AM1061" s="46"/>
      <c r="AN1061" s="46"/>
      <c r="AO1061" s="46"/>
      <c r="AP1061" s="46"/>
      <c r="AQ1061" s="46"/>
      <c r="AR1061" s="46"/>
      <c r="AS1061" s="46"/>
      <c r="AT1061" s="46"/>
      <c r="AU1061" s="46"/>
      <c r="AV1061" s="46"/>
      <c r="BA1061" s="49"/>
      <c r="BB1061" s="42"/>
      <c r="BC1061" s="42"/>
      <c r="BD1061" s="42"/>
      <c r="BE1061" s="42"/>
    </row>
    <row r="1062" spans="1:57" s="43" customFormat="1" ht="20.25" customHeight="1">
      <c r="A1062" s="13"/>
      <c r="B1062" s="97" t="s">
        <v>615</v>
      </c>
      <c r="C1062" s="29" t="s">
        <v>616</v>
      </c>
      <c r="D1062" s="51"/>
      <c r="E1062" s="51"/>
      <c r="F1062" s="51" t="s">
        <v>556</v>
      </c>
      <c r="G1062" s="51">
        <v>2</v>
      </c>
      <c r="H1062" s="51">
        <v>2</v>
      </c>
      <c r="I1062" s="51">
        <v>2</v>
      </c>
      <c r="J1062" s="51"/>
      <c r="K1062" s="51">
        <v>2</v>
      </c>
      <c r="L1062" s="40">
        <v>2</v>
      </c>
      <c r="M1062" s="40" t="s">
        <v>556</v>
      </c>
      <c r="N1062" s="40" t="s">
        <v>556</v>
      </c>
      <c r="O1062" s="40" t="s">
        <v>556</v>
      </c>
      <c r="P1062" s="40" t="s">
        <v>556</v>
      </c>
      <c r="Q1062" s="70"/>
      <c r="R1062" s="41"/>
      <c r="S1062" s="41"/>
      <c r="T1062" s="46"/>
      <c r="U1062" s="46"/>
      <c r="V1062" s="46"/>
      <c r="W1062" s="46"/>
      <c r="X1062" s="46"/>
      <c r="Y1062" s="46"/>
      <c r="Z1062" s="46"/>
      <c r="AA1062" s="46"/>
      <c r="AB1062" s="46"/>
      <c r="AC1062" s="46"/>
      <c r="AD1062" s="46"/>
      <c r="AE1062" s="46"/>
      <c r="AF1062" s="46"/>
      <c r="AG1062" s="46"/>
      <c r="AH1062" s="46"/>
      <c r="AI1062" s="46"/>
      <c r="AJ1062" s="46"/>
      <c r="AK1062" s="46"/>
      <c r="AL1062" s="46"/>
      <c r="AM1062" s="46"/>
      <c r="AN1062" s="46"/>
      <c r="AO1062" s="46"/>
      <c r="AP1062" s="46"/>
      <c r="AQ1062" s="46"/>
      <c r="AR1062" s="46"/>
      <c r="AS1062" s="46"/>
      <c r="AT1062" s="46"/>
      <c r="AU1062" s="46"/>
      <c r="AV1062" s="46"/>
      <c r="BA1062" s="49"/>
      <c r="BB1062" s="42"/>
      <c r="BC1062" s="42"/>
      <c r="BD1062" s="42"/>
      <c r="BE1062" s="42"/>
    </row>
    <row r="1063" spans="1:57" s="43" customFormat="1" ht="16.5" customHeight="1">
      <c r="A1063" s="13"/>
      <c r="B1063" s="97" t="s">
        <v>613</v>
      </c>
      <c r="C1063" s="15" t="s">
        <v>614</v>
      </c>
      <c r="D1063" s="51"/>
      <c r="E1063" s="51"/>
      <c r="F1063" s="51" t="s">
        <v>556</v>
      </c>
      <c r="G1063" s="51">
        <v>5</v>
      </c>
      <c r="H1063" s="51">
        <v>5</v>
      </c>
      <c r="I1063" s="51">
        <v>5</v>
      </c>
      <c r="J1063" s="51"/>
      <c r="K1063" s="51">
        <v>5</v>
      </c>
      <c r="L1063" s="40">
        <v>2</v>
      </c>
      <c r="M1063" s="40" t="s">
        <v>556</v>
      </c>
      <c r="N1063" s="40" t="s">
        <v>556</v>
      </c>
      <c r="O1063" s="40" t="s">
        <v>556</v>
      </c>
      <c r="P1063" s="40" t="s">
        <v>556</v>
      </c>
      <c r="Q1063" s="70"/>
      <c r="R1063" s="41"/>
      <c r="S1063" s="41"/>
      <c r="T1063" s="46"/>
      <c r="U1063" s="46"/>
      <c r="V1063" s="46"/>
      <c r="W1063" s="46"/>
      <c r="X1063" s="46"/>
      <c r="Y1063" s="46"/>
      <c r="Z1063" s="46"/>
      <c r="AA1063" s="46"/>
      <c r="AB1063" s="46"/>
      <c r="AC1063" s="46"/>
      <c r="AD1063" s="46"/>
      <c r="AE1063" s="46"/>
      <c r="AF1063" s="46"/>
      <c r="AG1063" s="46"/>
      <c r="AH1063" s="46"/>
      <c r="AI1063" s="46"/>
      <c r="AJ1063" s="46"/>
      <c r="AK1063" s="46"/>
      <c r="AL1063" s="46"/>
      <c r="AM1063" s="46"/>
      <c r="AN1063" s="46"/>
      <c r="AO1063" s="46"/>
      <c r="AP1063" s="46"/>
      <c r="AQ1063" s="46"/>
      <c r="AR1063" s="46"/>
      <c r="AS1063" s="46"/>
      <c r="AT1063" s="46"/>
      <c r="AU1063" s="46"/>
      <c r="AV1063" s="46"/>
      <c r="BA1063" s="49"/>
      <c r="BB1063" s="42"/>
      <c r="BC1063" s="42"/>
      <c r="BD1063" s="42"/>
      <c r="BE1063" s="42"/>
    </row>
    <row r="1064" spans="1:57" s="43" customFormat="1" ht="36" customHeight="1">
      <c r="A1064" s="13"/>
      <c r="B1064" s="105" t="s">
        <v>611</v>
      </c>
      <c r="C1064" s="15" t="s">
        <v>612</v>
      </c>
      <c r="D1064" s="51"/>
      <c r="E1064" s="51"/>
      <c r="F1064" s="51"/>
      <c r="G1064" s="51"/>
      <c r="H1064" s="51"/>
      <c r="I1064" s="51"/>
      <c r="J1064" s="51"/>
      <c r="K1064" s="51"/>
      <c r="L1064" s="40">
        <v>4</v>
      </c>
      <c r="M1064" s="40" t="s">
        <v>556</v>
      </c>
      <c r="N1064" s="40" t="s">
        <v>556</v>
      </c>
      <c r="O1064" s="40" t="s">
        <v>556</v>
      </c>
      <c r="P1064" s="40" t="s">
        <v>556</v>
      </c>
      <c r="Q1064" s="70"/>
      <c r="R1064" s="41"/>
      <c r="S1064" s="41"/>
      <c r="T1064" s="46"/>
      <c r="U1064" s="46"/>
      <c r="V1064" s="46"/>
      <c r="W1064" s="46"/>
      <c r="X1064" s="46"/>
      <c r="Y1064" s="46"/>
      <c r="Z1064" s="46"/>
      <c r="AA1064" s="46"/>
      <c r="AB1064" s="46"/>
      <c r="AC1064" s="46"/>
      <c r="AD1064" s="46"/>
      <c r="AE1064" s="46"/>
      <c r="AF1064" s="46"/>
      <c r="AG1064" s="46"/>
      <c r="AH1064" s="46"/>
      <c r="AI1064" s="46"/>
      <c r="AJ1064" s="46"/>
      <c r="AK1064" s="46"/>
      <c r="AL1064" s="46"/>
      <c r="AM1064" s="46"/>
      <c r="AN1064" s="46"/>
      <c r="AO1064" s="46"/>
      <c r="AP1064" s="46"/>
      <c r="AQ1064" s="46"/>
      <c r="AR1064" s="46"/>
      <c r="AS1064" s="46"/>
      <c r="AT1064" s="46"/>
      <c r="AU1064" s="46"/>
      <c r="AV1064" s="46"/>
      <c r="BA1064" s="49"/>
      <c r="BB1064" s="42"/>
      <c r="BC1064" s="42"/>
      <c r="BD1064" s="42"/>
      <c r="BE1064" s="42"/>
    </row>
    <row r="1065" spans="1:57" s="43" customFormat="1" ht="18.75" customHeight="1">
      <c r="A1065" s="13"/>
      <c r="B1065" s="97" t="s">
        <v>326</v>
      </c>
      <c r="C1065" s="15" t="s">
        <v>327</v>
      </c>
      <c r="D1065" s="51"/>
      <c r="E1065" s="51"/>
      <c r="F1065" s="51" t="s">
        <v>556</v>
      </c>
      <c r="G1065" s="51">
        <v>1</v>
      </c>
      <c r="H1065" s="51">
        <v>1</v>
      </c>
      <c r="I1065" s="51">
        <v>1</v>
      </c>
      <c r="J1065" s="51"/>
      <c r="K1065" s="51">
        <v>1</v>
      </c>
      <c r="L1065" s="40">
        <v>2</v>
      </c>
      <c r="M1065" s="40">
        <v>2</v>
      </c>
      <c r="N1065" s="40">
        <v>2</v>
      </c>
      <c r="O1065" s="40">
        <v>2</v>
      </c>
      <c r="P1065" s="40">
        <v>2</v>
      </c>
      <c r="Q1065" s="70"/>
      <c r="R1065" s="41"/>
      <c r="S1065" s="41"/>
      <c r="T1065" s="46"/>
      <c r="U1065" s="46"/>
      <c r="V1065" s="46"/>
      <c r="W1065" s="46"/>
      <c r="X1065" s="46"/>
      <c r="Y1065" s="46"/>
      <c r="Z1065" s="46"/>
      <c r="AA1065" s="46"/>
      <c r="AB1065" s="46"/>
      <c r="AC1065" s="46"/>
      <c r="AD1065" s="46"/>
      <c r="AE1065" s="46"/>
      <c r="AF1065" s="46"/>
      <c r="AG1065" s="46"/>
      <c r="AH1065" s="46"/>
      <c r="AI1065" s="46"/>
      <c r="AJ1065" s="46"/>
      <c r="AK1065" s="46"/>
      <c r="AL1065" s="46"/>
      <c r="AM1065" s="46"/>
      <c r="AN1065" s="46"/>
      <c r="AO1065" s="46"/>
      <c r="AP1065" s="46"/>
      <c r="AQ1065" s="46"/>
      <c r="AR1065" s="46"/>
      <c r="AS1065" s="46"/>
      <c r="AT1065" s="46"/>
      <c r="AU1065" s="46"/>
      <c r="AV1065" s="46"/>
      <c r="BA1065" s="49"/>
      <c r="BB1065" s="42"/>
      <c r="BC1065" s="42"/>
      <c r="BD1065" s="42"/>
      <c r="BE1065" s="42"/>
    </row>
    <row r="1066" spans="1:57" s="43" customFormat="1" ht="18" customHeight="1">
      <c r="A1066" s="13"/>
      <c r="B1066" s="97" t="s">
        <v>617</v>
      </c>
      <c r="C1066" s="29" t="s">
        <v>618</v>
      </c>
      <c r="D1066" s="51"/>
      <c r="E1066" s="51"/>
      <c r="F1066" s="51" t="s">
        <v>556</v>
      </c>
      <c r="G1066" s="51">
        <v>1</v>
      </c>
      <c r="H1066" s="51">
        <v>1</v>
      </c>
      <c r="I1066" s="51">
        <v>1</v>
      </c>
      <c r="J1066" s="51"/>
      <c r="K1066" s="51">
        <v>1</v>
      </c>
      <c r="L1066" s="40">
        <v>1</v>
      </c>
      <c r="M1066" s="40" t="s">
        <v>556</v>
      </c>
      <c r="N1066" s="40" t="s">
        <v>556</v>
      </c>
      <c r="O1066" s="40" t="s">
        <v>556</v>
      </c>
      <c r="P1066" s="40" t="s">
        <v>556</v>
      </c>
      <c r="Q1066" s="70"/>
      <c r="R1066" s="41"/>
      <c r="S1066" s="41"/>
      <c r="T1066" s="46"/>
      <c r="U1066" s="46"/>
      <c r="V1066" s="46"/>
      <c r="W1066" s="46"/>
      <c r="X1066" s="46"/>
      <c r="Y1066" s="46"/>
      <c r="Z1066" s="46"/>
      <c r="AA1066" s="46"/>
      <c r="AB1066" s="46"/>
      <c r="AC1066" s="46"/>
      <c r="AD1066" s="46"/>
      <c r="AE1066" s="46"/>
      <c r="AF1066" s="46"/>
      <c r="AG1066" s="46"/>
      <c r="AH1066" s="46"/>
      <c r="AI1066" s="46"/>
      <c r="AJ1066" s="46"/>
      <c r="AK1066" s="46"/>
      <c r="AL1066" s="46"/>
      <c r="AM1066" s="46"/>
      <c r="AN1066" s="46"/>
      <c r="AO1066" s="46"/>
      <c r="AP1066" s="46"/>
      <c r="AQ1066" s="46"/>
      <c r="AR1066" s="46"/>
      <c r="AS1066" s="46"/>
      <c r="AT1066" s="46"/>
      <c r="AU1066" s="46"/>
      <c r="AV1066" s="46"/>
      <c r="BA1066" s="49"/>
      <c r="BB1066" s="42"/>
      <c r="BC1066" s="42"/>
      <c r="BD1066" s="42"/>
      <c r="BE1066" s="42"/>
    </row>
    <row r="1067" spans="1:188" s="57" customFormat="1" ht="18" customHeight="1">
      <c r="A1067" s="13">
        <v>48</v>
      </c>
      <c r="B1067" s="92" t="s">
        <v>76</v>
      </c>
      <c r="C1067" s="45"/>
      <c r="D1067" s="44">
        <v>331</v>
      </c>
      <c r="E1067" s="44">
        <v>36</v>
      </c>
      <c r="F1067" s="44"/>
      <c r="G1067" s="44"/>
      <c r="H1067" s="44"/>
      <c r="I1067" s="44"/>
      <c r="J1067" s="44"/>
      <c r="K1067" s="44"/>
      <c r="L1067" s="44">
        <f>SUM(L1068,L1075)</f>
        <v>26</v>
      </c>
      <c r="M1067" s="44">
        <f>SUM(M1068,M1075)</f>
        <v>6</v>
      </c>
      <c r="N1067" s="44">
        <f>SUM(N1068,N1075)</f>
        <v>6</v>
      </c>
      <c r="O1067" s="44">
        <f>SUM(O1068,O1075)</f>
        <v>5</v>
      </c>
      <c r="P1067" s="44">
        <f>SUM(P1068,P1075)</f>
        <v>5</v>
      </c>
      <c r="Q1067" s="54" t="s">
        <v>648</v>
      </c>
      <c r="R1067" s="54">
        <v>2</v>
      </c>
      <c r="S1067" s="55" t="s">
        <v>921</v>
      </c>
      <c r="T1067" s="56"/>
      <c r="U1067" s="56"/>
      <c r="V1067" s="56"/>
      <c r="W1067" s="56"/>
      <c r="X1067" s="56"/>
      <c r="Y1067" s="56"/>
      <c r="Z1067" s="56"/>
      <c r="AA1067" s="56"/>
      <c r="AB1067" s="56"/>
      <c r="AC1067" s="56"/>
      <c r="AD1067" s="56"/>
      <c r="AE1067" s="56"/>
      <c r="AF1067" s="56"/>
      <c r="AG1067" s="56"/>
      <c r="AH1067" s="56"/>
      <c r="AI1067" s="56"/>
      <c r="AJ1067" s="56"/>
      <c r="AK1067" s="56"/>
      <c r="AL1067" s="56"/>
      <c r="AM1067" s="56"/>
      <c r="AN1067" s="56"/>
      <c r="AO1067" s="56"/>
      <c r="AP1067" s="56"/>
      <c r="AQ1067" s="56"/>
      <c r="AR1067" s="56"/>
      <c r="AS1067" s="56"/>
      <c r="AT1067" s="56"/>
      <c r="AU1067" s="56"/>
      <c r="AV1067" s="56"/>
      <c r="AW1067" s="56"/>
      <c r="AX1067" s="56"/>
      <c r="AY1067" s="56"/>
      <c r="AZ1067" s="56"/>
      <c r="BA1067" s="56"/>
      <c r="BB1067" s="56"/>
      <c r="BC1067" s="56"/>
      <c r="BD1067" s="56"/>
      <c r="BE1067" s="56"/>
      <c r="BF1067" s="56"/>
      <c r="BG1067" s="56"/>
      <c r="BH1067" s="56"/>
      <c r="BI1067" s="56"/>
      <c r="BJ1067" s="56"/>
      <c r="BK1067" s="56"/>
      <c r="BL1067" s="56"/>
      <c r="BM1067" s="56"/>
      <c r="BN1067" s="56"/>
      <c r="BO1067" s="56"/>
      <c r="BP1067" s="56"/>
      <c r="BQ1067" s="56"/>
      <c r="BR1067" s="56"/>
      <c r="BS1067" s="56"/>
      <c r="BT1067" s="56"/>
      <c r="BU1067" s="56"/>
      <c r="BV1067" s="56"/>
      <c r="BW1067" s="56"/>
      <c r="BX1067" s="56"/>
      <c r="BY1067" s="56"/>
      <c r="BZ1067" s="56"/>
      <c r="CA1067" s="56"/>
      <c r="CB1067" s="56"/>
      <c r="CC1067" s="56"/>
      <c r="CD1067" s="56"/>
      <c r="CE1067" s="56"/>
      <c r="CF1067" s="56"/>
      <c r="CG1067" s="56"/>
      <c r="CH1067" s="56"/>
      <c r="CI1067" s="56"/>
      <c r="CJ1067" s="56"/>
      <c r="CK1067" s="56"/>
      <c r="CL1067" s="56"/>
      <c r="CM1067" s="56"/>
      <c r="CN1067" s="56"/>
      <c r="CO1067" s="56"/>
      <c r="CP1067" s="56"/>
      <c r="CQ1067" s="56"/>
      <c r="CR1067" s="56"/>
      <c r="CS1067" s="56"/>
      <c r="CT1067" s="56"/>
      <c r="CU1067" s="56"/>
      <c r="CV1067" s="56"/>
      <c r="CW1067" s="56"/>
      <c r="CX1067" s="56"/>
      <c r="CY1067" s="56"/>
      <c r="CZ1067" s="56"/>
      <c r="DA1067" s="56"/>
      <c r="DB1067" s="56"/>
      <c r="DC1067" s="56"/>
      <c r="DD1067" s="56"/>
      <c r="DE1067" s="56"/>
      <c r="DF1067" s="56"/>
      <c r="DG1067" s="56"/>
      <c r="DH1067" s="56"/>
      <c r="DI1067" s="56"/>
      <c r="DJ1067" s="56"/>
      <c r="DK1067" s="56"/>
      <c r="DL1067" s="56"/>
      <c r="DM1067" s="56"/>
      <c r="DN1067" s="56"/>
      <c r="DO1067" s="56"/>
      <c r="DP1067" s="56"/>
      <c r="DQ1067" s="56"/>
      <c r="DR1067" s="56"/>
      <c r="DS1067" s="56"/>
      <c r="DT1067" s="56"/>
      <c r="DU1067" s="56"/>
      <c r="DV1067" s="56"/>
      <c r="DW1067" s="56"/>
      <c r="DX1067" s="56"/>
      <c r="DY1067" s="56"/>
      <c r="DZ1067" s="56"/>
      <c r="EA1067" s="56"/>
      <c r="EB1067" s="56"/>
      <c r="EC1067" s="56"/>
      <c r="ED1067" s="56"/>
      <c r="EE1067" s="56"/>
      <c r="EF1067" s="56"/>
      <c r="EG1067" s="56"/>
      <c r="EH1067" s="56"/>
      <c r="EI1067" s="56"/>
      <c r="EJ1067" s="56"/>
      <c r="EK1067" s="56"/>
      <c r="EL1067" s="56"/>
      <c r="EM1067" s="56"/>
      <c r="EN1067" s="56"/>
      <c r="EO1067" s="56"/>
      <c r="EP1067" s="56"/>
      <c r="EQ1067" s="56"/>
      <c r="ER1067" s="56"/>
      <c r="ES1067" s="56"/>
      <c r="ET1067" s="56"/>
      <c r="EU1067" s="56"/>
      <c r="EV1067" s="56"/>
      <c r="EW1067" s="56"/>
      <c r="EX1067" s="56"/>
      <c r="EY1067" s="56"/>
      <c r="EZ1067" s="56"/>
      <c r="FA1067" s="56"/>
      <c r="FB1067" s="56"/>
      <c r="FC1067" s="56"/>
      <c r="FD1067" s="56"/>
      <c r="FE1067" s="56"/>
      <c r="FF1067" s="56"/>
      <c r="FG1067" s="56"/>
      <c r="FH1067" s="56"/>
      <c r="FI1067" s="56"/>
      <c r="FJ1067" s="56"/>
      <c r="FK1067" s="56"/>
      <c r="FL1067" s="56"/>
      <c r="FM1067" s="56"/>
      <c r="FN1067" s="56"/>
      <c r="FO1067" s="56"/>
      <c r="FP1067" s="56"/>
      <c r="FQ1067" s="56"/>
      <c r="FR1067" s="56"/>
      <c r="FS1067" s="56"/>
      <c r="FT1067" s="56"/>
      <c r="FU1067" s="56"/>
      <c r="FV1067" s="56"/>
      <c r="FW1067" s="56"/>
      <c r="FX1067" s="56"/>
      <c r="FY1067" s="56"/>
      <c r="FZ1067" s="56"/>
      <c r="GA1067" s="56"/>
      <c r="GB1067" s="56"/>
      <c r="GC1067" s="56"/>
      <c r="GD1067" s="56"/>
      <c r="GE1067" s="56"/>
      <c r="GF1067" s="56"/>
    </row>
    <row r="1068" spans="1:57" s="43" customFormat="1" ht="15.75">
      <c r="A1068" s="13"/>
      <c r="B1068" s="93" t="s">
        <v>669</v>
      </c>
      <c r="C1068" s="15"/>
      <c r="D1068" s="40"/>
      <c r="E1068" s="40"/>
      <c r="F1068" s="40"/>
      <c r="G1068" s="40"/>
      <c r="H1068" s="40"/>
      <c r="I1068" s="40"/>
      <c r="J1068" s="40"/>
      <c r="K1068" s="40"/>
      <c r="L1068" s="60">
        <f>SUM(L1069:L1074)</f>
        <v>24</v>
      </c>
      <c r="M1068" s="60">
        <f>SUM(M1069:M1074)</f>
        <v>5</v>
      </c>
      <c r="N1068" s="60">
        <f>SUM(N1069:N1074)</f>
        <v>5</v>
      </c>
      <c r="O1068" s="60">
        <f>SUM(O1069:O1074)</f>
        <v>5</v>
      </c>
      <c r="P1068" s="60">
        <f>SUM(P1069:P1074)</f>
        <v>5</v>
      </c>
      <c r="Q1068" s="257">
        <f>SUM(Q1069:Q1073)</f>
        <v>0</v>
      </c>
      <c r="R1068" s="60">
        <f>SUM(R1069:R1073)</f>
        <v>0</v>
      </c>
      <c r="S1068" s="60">
        <f>SUM(S1069:S1073)</f>
        <v>0</v>
      </c>
      <c r="T1068" s="46"/>
      <c r="U1068" s="46"/>
      <c r="V1068" s="46"/>
      <c r="W1068" s="46"/>
      <c r="X1068" s="46"/>
      <c r="Y1068" s="46"/>
      <c r="Z1068" s="46"/>
      <c r="AA1068" s="46"/>
      <c r="AB1068" s="46"/>
      <c r="AC1068" s="46"/>
      <c r="AD1068" s="46"/>
      <c r="AE1068" s="46"/>
      <c r="AF1068" s="46"/>
      <c r="AG1068" s="46"/>
      <c r="AH1068" s="46"/>
      <c r="AI1068" s="46"/>
      <c r="AJ1068" s="46"/>
      <c r="AK1068" s="46"/>
      <c r="AL1068" s="46"/>
      <c r="AM1068" s="46"/>
      <c r="AN1068" s="46"/>
      <c r="AO1068" s="46"/>
      <c r="AP1068" s="46"/>
      <c r="AQ1068" s="46"/>
      <c r="AR1068" s="46"/>
      <c r="AS1068" s="46"/>
      <c r="AT1068" s="46"/>
      <c r="AU1068" s="46"/>
      <c r="AV1068" s="46"/>
      <c r="BA1068" s="49"/>
      <c r="BB1068" s="42"/>
      <c r="BC1068" s="42"/>
      <c r="BD1068" s="42"/>
      <c r="BE1068" s="42"/>
    </row>
    <row r="1069" spans="1:57" s="43" customFormat="1" ht="15.75" customHeight="1">
      <c r="A1069" s="13"/>
      <c r="B1069" s="111" t="s">
        <v>748</v>
      </c>
      <c r="C1069" s="15" t="s">
        <v>749</v>
      </c>
      <c r="D1069" s="40"/>
      <c r="E1069" s="51"/>
      <c r="F1069" s="40"/>
      <c r="G1069" s="40"/>
      <c r="H1069" s="40"/>
      <c r="I1069" s="40"/>
      <c r="J1069" s="40"/>
      <c r="K1069" s="40"/>
      <c r="L1069" s="40">
        <v>15</v>
      </c>
      <c r="M1069" s="40" t="s">
        <v>556</v>
      </c>
      <c r="N1069" s="40" t="s">
        <v>556</v>
      </c>
      <c r="O1069" s="40" t="s">
        <v>556</v>
      </c>
      <c r="P1069" s="40" t="s">
        <v>556</v>
      </c>
      <c r="Q1069" s="70"/>
      <c r="R1069" s="41"/>
      <c r="S1069" s="41"/>
      <c r="T1069" s="46"/>
      <c r="U1069" s="46"/>
      <c r="V1069" s="46"/>
      <c r="W1069" s="46"/>
      <c r="X1069" s="46"/>
      <c r="Y1069" s="46"/>
      <c r="Z1069" s="46"/>
      <c r="AA1069" s="46"/>
      <c r="AB1069" s="46"/>
      <c r="AC1069" s="46"/>
      <c r="AD1069" s="46"/>
      <c r="AE1069" s="46"/>
      <c r="AF1069" s="46"/>
      <c r="AG1069" s="46"/>
      <c r="AH1069" s="46"/>
      <c r="AI1069" s="46"/>
      <c r="AJ1069" s="46"/>
      <c r="AK1069" s="46"/>
      <c r="AL1069" s="46"/>
      <c r="AM1069" s="46"/>
      <c r="AN1069" s="46"/>
      <c r="AO1069" s="46"/>
      <c r="AP1069" s="46"/>
      <c r="AQ1069" s="46"/>
      <c r="AR1069" s="46"/>
      <c r="AS1069" s="46"/>
      <c r="AT1069" s="46"/>
      <c r="AU1069" s="46"/>
      <c r="AV1069" s="46"/>
      <c r="BA1069" s="49"/>
      <c r="BB1069" s="42"/>
      <c r="BC1069" s="42"/>
      <c r="BD1069" s="42"/>
      <c r="BE1069" s="42"/>
    </row>
    <row r="1070" spans="1:57" s="43" customFormat="1" ht="15.75" customHeight="1">
      <c r="A1070" s="13"/>
      <c r="B1070" s="111" t="s">
        <v>424</v>
      </c>
      <c r="C1070" s="66" t="s">
        <v>425</v>
      </c>
      <c r="D1070" s="40"/>
      <c r="E1070" s="51"/>
      <c r="F1070" s="40"/>
      <c r="G1070" s="40"/>
      <c r="H1070" s="40"/>
      <c r="I1070" s="40"/>
      <c r="J1070" s="40"/>
      <c r="K1070" s="40"/>
      <c r="L1070" s="40">
        <v>1</v>
      </c>
      <c r="M1070" s="40" t="s">
        <v>556</v>
      </c>
      <c r="N1070" s="40" t="s">
        <v>556</v>
      </c>
      <c r="O1070" s="40" t="s">
        <v>556</v>
      </c>
      <c r="P1070" s="40" t="s">
        <v>556</v>
      </c>
      <c r="Q1070" s="70"/>
      <c r="R1070" s="41"/>
      <c r="S1070" s="41"/>
      <c r="T1070" s="46"/>
      <c r="U1070" s="46"/>
      <c r="V1070" s="46"/>
      <c r="W1070" s="46"/>
      <c r="X1070" s="46"/>
      <c r="Y1070" s="46"/>
      <c r="Z1070" s="46"/>
      <c r="AA1070" s="46"/>
      <c r="AB1070" s="46"/>
      <c r="AC1070" s="46"/>
      <c r="AD1070" s="46"/>
      <c r="AE1070" s="46"/>
      <c r="AF1070" s="46"/>
      <c r="AG1070" s="46"/>
      <c r="AH1070" s="46"/>
      <c r="AI1070" s="46"/>
      <c r="AJ1070" s="46"/>
      <c r="AK1070" s="46"/>
      <c r="AL1070" s="46"/>
      <c r="AM1070" s="46"/>
      <c r="AN1070" s="46"/>
      <c r="AO1070" s="46"/>
      <c r="AP1070" s="46"/>
      <c r="AQ1070" s="46"/>
      <c r="AR1070" s="46"/>
      <c r="AS1070" s="46"/>
      <c r="AT1070" s="46"/>
      <c r="AU1070" s="46"/>
      <c r="AV1070" s="46"/>
      <c r="BA1070" s="49"/>
      <c r="BB1070" s="42"/>
      <c r="BC1070" s="42"/>
      <c r="BD1070" s="42"/>
      <c r="BE1070" s="42"/>
    </row>
    <row r="1071" spans="1:57" s="43" customFormat="1" ht="15.75" customHeight="1">
      <c r="A1071" s="13"/>
      <c r="B1071" s="105" t="s">
        <v>1329</v>
      </c>
      <c r="C1071" s="66" t="s">
        <v>1330</v>
      </c>
      <c r="D1071" s="40"/>
      <c r="E1071" s="51"/>
      <c r="F1071" s="40"/>
      <c r="G1071" s="40"/>
      <c r="H1071" s="40"/>
      <c r="I1071" s="40"/>
      <c r="J1071" s="40"/>
      <c r="K1071" s="40"/>
      <c r="L1071" s="40">
        <v>5</v>
      </c>
      <c r="M1071" s="40">
        <v>5</v>
      </c>
      <c r="N1071" s="40">
        <v>5</v>
      </c>
      <c r="O1071" s="40">
        <v>5</v>
      </c>
      <c r="P1071" s="40">
        <v>5</v>
      </c>
      <c r="Q1071" s="70"/>
      <c r="R1071" s="41"/>
      <c r="S1071" s="41"/>
      <c r="T1071" s="46"/>
      <c r="U1071" s="46"/>
      <c r="V1071" s="46"/>
      <c r="W1071" s="46"/>
      <c r="X1071" s="46"/>
      <c r="Y1071" s="46"/>
      <c r="Z1071" s="46"/>
      <c r="AA1071" s="46"/>
      <c r="AB1071" s="46"/>
      <c r="AC1071" s="46"/>
      <c r="AD1071" s="46"/>
      <c r="AE1071" s="46"/>
      <c r="AF1071" s="46"/>
      <c r="AG1071" s="46"/>
      <c r="AH1071" s="46"/>
      <c r="AI1071" s="46"/>
      <c r="AJ1071" s="46"/>
      <c r="AK1071" s="46"/>
      <c r="AL1071" s="46"/>
      <c r="AM1071" s="46"/>
      <c r="AN1071" s="46"/>
      <c r="AO1071" s="46"/>
      <c r="AP1071" s="46"/>
      <c r="AQ1071" s="46"/>
      <c r="AR1071" s="46"/>
      <c r="AS1071" s="46"/>
      <c r="AT1071" s="46"/>
      <c r="AU1071" s="46"/>
      <c r="AV1071" s="46"/>
      <c r="BA1071" s="49"/>
      <c r="BB1071" s="42"/>
      <c r="BC1071" s="42"/>
      <c r="BD1071" s="42"/>
      <c r="BE1071" s="42"/>
    </row>
    <row r="1072" spans="1:57" s="43" customFormat="1" ht="15.75" customHeight="1">
      <c r="A1072" s="13"/>
      <c r="B1072" s="97" t="s">
        <v>564</v>
      </c>
      <c r="C1072" s="29" t="s">
        <v>565</v>
      </c>
      <c r="D1072" s="40"/>
      <c r="E1072" s="51"/>
      <c r="F1072" s="40"/>
      <c r="G1072" s="40"/>
      <c r="H1072" s="40"/>
      <c r="I1072" s="40"/>
      <c r="J1072" s="40"/>
      <c r="K1072" s="40"/>
      <c r="L1072" s="40">
        <v>1</v>
      </c>
      <c r="M1072" s="40" t="s">
        <v>556</v>
      </c>
      <c r="N1072" s="40" t="s">
        <v>556</v>
      </c>
      <c r="O1072" s="40" t="s">
        <v>556</v>
      </c>
      <c r="P1072" s="40" t="s">
        <v>556</v>
      </c>
      <c r="Q1072" s="70"/>
      <c r="R1072" s="41"/>
      <c r="S1072" s="41"/>
      <c r="T1072" s="46"/>
      <c r="U1072" s="46"/>
      <c r="V1072" s="46"/>
      <c r="W1072" s="46"/>
      <c r="X1072" s="46"/>
      <c r="Y1072" s="46"/>
      <c r="Z1072" s="46"/>
      <c r="AA1072" s="46"/>
      <c r="AB1072" s="46"/>
      <c r="AC1072" s="46"/>
      <c r="AD1072" s="46"/>
      <c r="AE1072" s="46"/>
      <c r="AF1072" s="46"/>
      <c r="AG1072" s="46"/>
      <c r="AH1072" s="46"/>
      <c r="AI1072" s="46"/>
      <c r="AJ1072" s="46"/>
      <c r="AK1072" s="46"/>
      <c r="AL1072" s="46"/>
      <c r="AM1072" s="46"/>
      <c r="AN1072" s="46"/>
      <c r="AO1072" s="46"/>
      <c r="AP1072" s="46"/>
      <c r="AQ1072" s="46"/>
      <c r="AR1072" s="46"/>
      <c r="AS1072" s="46"/>
      <c r="AT1072" s="46"/>
      <c r="AU1072" s="46"/>
      <c r="AV1072" s="46"/>
      <c r="BA1072" s="49"/>
      <c r="BB1072" s="42"/>
      <c r="BC1072" s="42"/>
      <c r="BD1072" s="42"/>
      <c r="BE1072" s="42"/>
    </row>
    <row r="1073" spans="1:57" s="43" customFormat="1" ht="15.75" customHeight="1">
      <c r="A1073" s="13"/>
      <c r="B1073" s="97" t="s">
        <v>797</v>
      </c>
      <c r="C1073" s="29" t="s">
        <v>798</v>
      </c>
      <c r="D1073" s="40"/>
      <c r="E1073" s="51"/>
      <c r="F1073" s="40"/>
      <c r="G1073" s="40"/>
      <c r="H1073" s="40"/>
      <c r="I1073" s="40"/>
      <c r="J1073" s="40"/>
      <c r="K1073" s="40"/>
      <c r="L1073" s="40">
        <v>1</v>
      </c>
      <c r="M1073" s="40" t="s">
        <v>556</v>
      </c>
      <c r="N1073" s="40" t="s">
        <v>556</v>
      </c>
      <c r="O1073" s="40" t="s">
        <v>556</v>
      </c>
      <c r="P1073" s="40" t="s">
        <v>556</v>
      </c>
      <c r="Q1073" s="70"/>
      <c r="R1073" s="41"/>
      <c r="S1073" s="41"/>
      <c r="T1073" s="46"/>
      <c r="U1073" s="46"/>
      <c r="V1073" s="46"/>
      <c r="W1073" s="46"/>
      <c r="X1073" s="46"/>
      <c r="Y1073" s="46"/>
      <c r="Z1073" s="46"/>
      <c r="AA1073" s="46"/>
      <c r="AB1073" s="46"/>
      <c r="AC1073" s="46"/>
      <c r="AD1073" s="46"/>
      <c r="AE1073" s="46"/>
      <c r="AF1073" s="46"/>
      <c r="AG1073" s="46"/>
      <c r="AH1073" s="46"/>
      <c r="AI1073" s="46"/>
      <c r="AJ1073" s="46"/>
      <c r="AK1073" s="46"/>
      <c r="AL1073" s="46"/>
      <c r="AM1073" s="46"/>
      <c r="AN1073" s="46"/>
      <c r="AO1073" s="46"/>
      <c r="AP1073" s="46"/>
      <c r="AQ1073" s="46"/>
      <c r="AR1073" s="46"/>
      <c r="AS1073" s="46"/>
      <c r="AT1073" s="46"/>
      <c r="AU1073" s="46"/>
      <c r="AV1073" s="46"/>
      <c r="BA1073" s="49"/>
      <c r="BB1073" s="42"/>
      <c r="BC1073" s="42"/>
      <c r="BD1073" s="42"/>
      <c r="BE1073" s="42"/>
    </row>
    <row r="1074" spans="1:57" s="43" customFormat="1" ht="15.75" customHeight="1">
      <c r="A1074" s="13"/>
      <c r="B1074" s="105" t="s">
        <v>980</v>
      </c>
      <c r="C1074" s="15" t="s">
        <v>981</v>
      </c>
      <c r="D1074" s="40"/>
      <c r="E1074" s="51"/>
      <c r="F1074" s="40"/>
      <c r="G1074" s="40"/>
      <c r="H1074" s="40"/>
      <c r="I1074" s="40"/>
      <c r="J1074" s="40"/>
      <c r="K1074" s="40"/>
      <c r="L1074" s="40">
        <v>1</v>
      </c>
      <c r="M1074" s="40" t="s">
        <v>556</v>
      </c>
      <c r="N1074" s="40" t="s">
        <v>556</v>
      </c>
      <c r="O1074" s="40" t="s">
        <v>556</v>
      </c>
      <c r="P1074" s="40" t="s">
        <v>556</v>
      </c>
      <c r="Q1074" s="70"/>
      <c r="R1074" s="41"/>
      <c r="S1074" s="41"/>
      <c r="T1074" s="46"/>
      <c r="U1074" s="46"/>
      <c r="V1074" s="46"/>
      <c r="W1074" s="46"/>
      <c r="X1074" s="46"/>
      <c r="Y1074" s="46"/>
      <c r="Z1074" s="46"/>
      <c r="AA1074" s="46"/>
      <c r="AB1074" s="46"/>
      <c r="AC1074" s="46"/>
      <c r="AD1074" s="46"/>
      <c r="AE1074" s="46"/>
      <c r="AF1074" s="46"/>
      <c r="AG1074" s="46"/>
      <c r="AH1074" s="46"/>
      <c r="AI1074" s="46"/>
      <c r="AJ1074" s="46"/>
      <c r="AK1074" s="46"/>
      <c r="AL1074" s="46"/>
      <c r="AM1074" s="46"/>
      <c r="AN1074" s="46"/>
      <c r="AO1074" s="46"/>
      <c r="AP1074" s="46"/>
      <c r="AQ1074" s="46"/>
      <c r="AR1074" s="46"/>
      <c r="AS1074" s="46"/>
      <c r="AT1074" s="46"/>
      <c r="AU1074" s="46"/>
      <c r="AV1074" s="46"/>
      <c r="BA1074" s="49"/>
      <c r="BB1074" s="42"/>
      <c r="BC1074" s="42"/>
      <c r="BD1074" s="42"/>
      <c r="BE1074" s="42"/>
    </row>
    <row r="1075" spans="1:57" s="43" customFormat="1" ht="15.75">
      <c r="A1075" s="13"/>
      <c r="B1075" s="93" t="s">
        <v>670</v>
      </c>
      <c r="C1075" s="15"/>
      <c r="D1075" s="40"/>
      <c r="E1075" s="40"/>
      <c r="F1075" s="40"/>
      <c r="G1075" s="40"/>
      <c r="H1075" s="40"/>
      <c r="I1075" s="40"/>
      <c r="J1075" s="40"/>
      <c r="K1075" s="40"/>
      <c r="L1075" s="60">
        <f>L1076</f>
        <v>2</v>
      </c>
      <c r="M1075" s="60">
        <f>M1076</f>
        <v>1</v>
      </c>
      <c r="N1075" s="60">
        <f>N1076</f>
        <v>1</v>
      </c>
      <c r="O1075" s="60" t="str">
        <f>O1076</f>
        <v> -</v>
      </c>
      <c r="P1075" s="60" t="str">
        <f>P1076</f>
        <v> -</v>
      </c>
      <c r="Q1075" s="70"/>
      <c r="R1075" s="41"/>
      <c r="S1075" s="41"/>
      <c r="T1075" s="46"/>
      <c r="U1075" s="46"/>
      <c r="V1075" s="46"/>
      <c r="W1075" s="46"/>
      <c r="X1075" s="46"/>
      <c r="Y1075" s="46"/>
      <c r="Z1075" s="46"/>
      <c r="AA1075" s="46"/>
      <c r="AB1075" s="46"/>
      <c r="AC1075" s="46"/>
      <c r="AD1075" s="46"/>
      <c r="AE1075" s="46"/>
      <c r="AF1075" s="46"/>
      <c r="AG1075" s="46"/>
      <c r="AH1075" s="46"/>
      <c r="AI1075" s="46"/>
      <c r="AJ1075" s="46"/>
      <c r="AK1075" s="46"/>
      <c r="AL1075" s="46"/>
      <c r="AM1075" s="46"/>
      <c r="AN1075" s="46"/>
      <c r="AO1075" s="46"/>
      <c r="AP1075" s="46"/>
      <c r="AQ1075" s="46"/>
      <c r="AR1075" s="46"/>
      <c r="AS1075" s="46"/>
      <c r="AT1075" s="46"/>
      <c r="AU1075" s="46"/>
      <c r="AV1075" s="46"/>
      <c r="BA1075" s="49"/>
      <c r="BB1075" s="42"/>
      <c r="BC1075" s="42"/>
      <c r="BD1075" s="42"/>
      <c r="BE1075" s="42"/>
    </row>
    <row r="1076" spans="1:57" s="43" customFormat="1" ht="17.25" customHeight="1">
      <c r="A1076" s="13"/>
      <c r="B1076" s="97" t="s">
        <v>1287</v>
      </c>
      <c r="C1076" s="15" t="s">
        <v>1288</v>
      </c>
      <c r="D1076" s="51"/>
      <c r="E1076" s="51"/>
      <c r="F1076" s="51" t="s">
        <v>556</v>
      </c>
      <c r="G1076" s="51">
        <v>10</v>
      </c>
      <c r="H1076" s="51">
        <v>10</v>
      </c>
      <c r="I1076" s="51">
        <v>11</v>
      </c>
      <c r="J1076" s="51"/>
      <c r="K1076" s="51">
        <v>11</v>
      </c>
      <c r="L1076" s="40">
        <v>2</v>
      </c>
      <c r="M1076" s="40">
        <v>1</v>
      </c>
      <c r="N1076" s="40">
        <v>1</v>
      </c>
      <c r="O1076" s="40" t="s">
        <v>556</v>
      </c>
      <c r="P1076" s="40" t="s">
        <v>556</v>
      </c>
      <c r="Q1076" s="70"/>
      <c r="R1076" s="41"/>
      <c r="S1076" s="41"/>
      <c r="T1076" s="46"/>
      <c r="U1076" s="46"/>
      <c r="V1076" s="46"/>
      <c r="W1076" s="46"/>
      <c r="X1076" s="46"/>
      <c r="Y1076" s="46"/>
      <c r="Z1076" s="46"/>
      <c r="AA1076" s="46"/>
      <c r="AB1076" s="46"/>
      <c r="AC1076" s="46"/>
      <c r="AD1076" s="46"/>
      <c r="AE1076" s="46"/>
      <c r="AF1076" s="46"/>
      <c r="AG1076" s="46"/>
      <c r="AH1076" s="46"/>
      <c r="AI1076" s="46"/>
      <c r="AJ1076" s="46"/>
      <c r="AK1076" s="46"/>
      <c r="AL1076" s="46"/>
      <c r="AM1076" s="46"/>
      <c r="AN1076" s="46"/>
      <c r="AO1076" s="46"/>
      <c r="AP1076" s="46"/>
      <c r="AQ1076" s="46"/>
      <c r="AR1076" s="46"/>
      <c r="AS1076" s="46"/>
      <c r="AT1076" s="46"/>
      <c r="AU1076" s="46"/>
      <c r="AV1076" s="46"/>
      <c r="BA1076" s="49"/>
      <c r="BB1076" s="42"/>
      <c r="BC1076" s="42"/>
      <c r="BD1076" s="42"/>
      <c r="BE1076" s="42"/>
    </row>
    <row r="1077" spans="1:188" s="57" customFormat="1" ht="17.25" customHeight="1">
      <c r="A1077" s="13">
        <v>49</v>
      </c>
      <c r="B1077" s="92" t="s">
        <v>58</v>
      </c>
      <c r="C1077" s="45"/>
      <c r="D1077" s="44">
        <v>104</v>
      </c>
      <c r="E1077" s="44">
        <v>13</v>
      </c>
      <c r="F1077" s="44"/>
      <c r="G1077" s="44">
        <v>104</v>
      </c>
      <c r="H1077" s="44">
        <v>106</v>
      </c>
      <c r="I1077" s="44">
        <v>108</v>
      </c>
      <c r="J1077" s="44">
        <v>109</v>
      </c>
      <c r="K1077" s="44">
        <v>109</v>
      </c>
      <c r="L1077" s="44">
        <v>2</v>
      </c>
      <c r="M1077" s="44">
        <v>4</v>
      </c>
      <c r="N1077" s="44">
        <v>2</v>
      </c>
      <c r="O1077" s="44">
        <v>1</v>
      </c>
      <c r="P1077" s="44" t="s">
        <v>556</v>
      </c>
      <c r="Q1077" s="54" t="s">
        <v>648</v>
      </c>
      <c r="R1077" s="54">
        <v>2</v>
      </c>
      <c r="S1077" s="55" t="s">
        <v>1057</v>
      </c>
      <c r="T1077" s="56"/>
      <c r="U1077" s="56"/>
      <c r="V1077" s="56"/>
      <c r="W1077" s="56"/>
      <c r="X1077" s="56"/>
      <c r="Y1077" s="56"/>
      <c r="Z1077" s="56"/>
      <c r="AA1077" s="56"/>
      <c r="AB1077" s="56"/>
      <c r="AC1077" s="56"/>
      <c r="AD1077" s="56"/>
      <c r="AE1077" s="56"/>
      <c r="AF1077" s="56"/>
      <c r="AG1077" s="56"/>
      <c r="AH1077" s="56"/>
      <c r="AI1077" s="56"/>
      <c r="AJ1077" s="56"/>
      <c r="AK1077" s="56"/>
      <c r="AL1077" s="56"/>
      <c r="AM1077" s="56"/>
      <c r="AN1077" s="56"/>
      <c r="AO1077" s="56"/>
      <c r="AP1077" s="56"/>
      <c r="AQ1077" s="56"/>
      <c r="AR1077" s="56"/>
      <c r="AS1077" s="56"/>
      <c r="AT1077" s="56"/>
      <c r="AU1077" s="56"/>
      <c r="AV1077" s="56"/>
      <c r="AW1077" s="56"/>
      <c r="AX1077" s="56"/>
      <c r="AY1077" s="56"/>
      <c r="AZ1077" s="56"/>
      <c r="BA1077" s="56"/>
      <c r="BB1077" s="56"/>
      <c r="BC1077" s="56"/>
      <c r="BD1077" s="56"/>
      <c r="BE1077" s="56"/>
      <c r="BF1077" s="56"/>
      <c r="BG1077" s="56"/>
      <c r="BH1077" s="56"/>
      <c r="BI1077" s="56"/>
      <c r="BJ1077" s="56"/>
      <c r="BK1077" s="56"/>
      <c r="BL1077" s="56"/>
      <c r="BM1077" s="56"/>
      <c r="BN1077" s="56"/>
      <c r="BO1077" s="56"/>
      <c r="BP1077" s="56"/>
      <c r="BQ1077" s="56"/>
      <c r="BR1077" s="56"/>
      <c r="BS1077" s="56"/>
      <c r="BT1077" s="56"/>
      <c r="BU1077" s="56"/>
      <c r="BV1077" s="56"/>
      <c r="BW1077" s="56"/>
      <c r="BX1077" s="56"/>
      <c r="BY1077" s="56"/>
      <c r="BZ1077" s="56"/>
      <c r="CA1077" s="56"/>
      <c r="CB1077" s="56"/>
      <c r="CC1077" s="56"/>
      <c r="CD1077" s="56"/>
      <c r="CE1077" s="56"/>
      <c r="CF1077" s="56"/>
      <c r="CG1077" s="56"/>
      <c r="CH1077" s="56"/>
      <c r="CI1077" s="56"/>
      <c r="CJ1077" s="56"/>
      <c r="CK1077" s="56"/>
      <c r="CL1077" s="56"/>
      <c r="CM1077" s="56"/>
      <c r="CN1077" s="56"/>
      <c r="CO1077" s="56"/>
      <c r="CP1077" s="56"/>
      <c r="CQ1077" s="56"/>
      <c r="CR1077" s="56"/>
      <c r="CS1077" s="56"/>
      <c r="CT1077" s="56"/>
      <c r="CU1077" s="56"/>
      <c r="CV1077" s="56"/>
      <c r="CW1077" s="56"/>
      <c r="CX1077" s="56"/>
      <c r="CY1077" s="56"/>
      <c r="CZ1077" s="56"/>
      <c r="DA1077" s="56"/>
      <c r="DB1077" s="56"/>
      <c r="DC1077" s="56"/>
      <c r="DD1077" s="56"/>
      <c r="DE1077" s="56"/>
      <c r="DF1077" s="56"/>
      <c r="DG1077" s="56"/>
      <c r="DH1077" s="56"/>
      <c r="DI1077" s="56"/>
      <c r="DJ1077" s="56"/>
      <c r="DK1077" s="56"/>
      <c r="DL1077" s="56"/>
      <c r="DM1077" s="56"/>
      <c r="DN1077" s="56"/>
      <c r="DO1077" s="56"/>
      <c r="DP1077" s="56"/>
      <c r="DQ1077" s="56"/>
      <c r="DR1077" s="56"/>
      <c r="DS1077" s="56"/>
      <c r="DT1077" s="56"/>
      <c r="DU1077" s="56"/>
      <c r="DV1077" s="56"/>
      <c r="DW1077" s="56"/>
      <c r="DX1077" s="56"/>
      <c r="DY1077" s="56"/>
      <c r="DZ1077" s="56"/>
      <c r="EA1077" s="56"/>
      <c r="EB1077" s="56"/>
      <c r="EC1077" s="56"/>
      <c r="ED1077" s="56"/>
      <c r="EE1077" s="56"/>
      <c r="EF1077" s="56"/>
      <c r="EG1077" s="56"/>
      <c r="EH1077" s="56"/>
      <c r="EI1077" s="56"/>
      <c r="EJ1077" s="56"/>
      <c r="EK1077" s="56"/>
      <c r="EL1077" s="56"/>
      <c r="EM1077" s="56"/>
      <c r="EN1077" s="56"/>
      <c r="EO1077" s="56"/>
      <c r="EP1077" s="56"/>
      <c r="EQ1077" s="56"/>
      <c r="ER1077" s="56"/>
      <c r="ES1077" s="56"/>
      <c r="ET1077" s="56"/>
      <c r="EU1077" s="56"/>
      <c r="EV1077" s="56"/>
      <c r="EW1077" s="56"/>
      <c r="EX1077" s="56"/>
      <c r="EY1077" s="56"/>
      <c r="EZ1077" s="56"/>
      <c r="FA1077" s="56"/>
      <c r="FB1077" s="56"/>
      <c r="FC1077" s="56"/>
      <c r="FD1077" s="56"/>
      <c r="FE1077" s="56"/>
      <c r="FF1077" s="56"/>
      <c r="FG1077" s="56"/>
      <c r="FH1077" s="56"/>
      <c r="FI1077" s="56"/>
      <c r="FJ1077" s="56"/>
      <c r="FK1077" s="56"/>
      <c r="FL1077" s="56"/>
      <c r="FM1077" s="56"/>
      <c r="FN1077" s="56"/>
      <c r="FO1077" s="56"/>
      <c r="FP1077" s="56"/>
      <c r="FQ1077" s="56"/>
      <c r="FR1077" s="56"/>
      <c r="FS1077" s="56"/>
      <c r="FT1077" s="56"/>
      <c r="FU1077" s="56"/>
      <c r="FV1077" s="56"/>
      <c r="FW1077" s="56"/>
      <c r="FX1077" s="56"/>
      <c r="FY1077" s="56"/>
      <c r="FZ1077" s="56"/>
      <c r="GA1077" s="56"/>
      <c r="GB1077" s="56"/>
      <c r="GC1077" s="56"/>
      <c r="GD1077" s="56"/>
      <c r="GE1077" s="56"/>
      <c r="GF1077" s="56"/>
    </row>
    <row r="1078" spans="1:48" s="18" customFormat="1" ht="17.25" customHeight="1">
      <c r="A1078" s="50"/>
      <c r="B1078" s="93" t="s">
        <v>669</v>
      </c>
      <c r="C1078" s="16"/>
      <c r="D1078" s="52"/>
      <c r="E1078" s="52"/>
      <c r="F1078" s="52"/>
      <c r="G1078" s="52"/>
      <c r="H1078" s="52"/>
      <c r="I1078" s="52"/>
      <c r="J1078" s="52"/>
      <c r="K1078" s="52"/>
      <c r="L1078" s="60" t="s">
        <v>556</v>
      </c>
      <c r="M1078" s="60">
        <v>2</v>
      </c>
      <c r="N1078" s="60">
        <v>1</v>
      </c>
      <c r="O1078" s="60" t="s">
        <v>556</v>
      </c>
      <c r="P1078" s="60" t="s">
        <v>556</v>
      </c>
      <c r="Q1078" s="23"/>
      <c r="R1078" s="23"/>
      <c r="S1078" s="17"/>
      <c r="T1078" s="47"/>
      <c r="U1078" s="47"/>
      <c r="V1078" s="47"/>
      <c r="W1078" s="47"/>
      <c r="X1078" s="47"/>
      <c r="Y1078" s="47"/>
      <c r="Z1078" s="47"/>
      <c r="AA1078" s="47"/>
      <c r="AB1078" s="47"/>
      <c r="AC1078" s="47"/>
      <c r="AD1078" s="47"/>
      <c r="AE1078" s="47"/>
      <c r="AF1078" s="47"/>
      <c r="AG1078" s="47"/>
      <c r="AH1078" s="47"/>
      <c r="AI1078" s="47"/>
      <c r="AJ1078" s="47"/>
      <c r="AK1078" s="47"/>
      <c r="AL1078" s="47"/>
      <c r="AM1078" s="47"/>
      <c r="AN1078" s="47"/>
      <c r="AO1078" s="47"/>
      <c r="AP1078" s="47"/>
      <c r="AQ1078" s="47"/>
      <c r="AR1078" s="47"/>
      <c r="AS1078" s="47"/>
      <c r="AT1078" s="47"/>
      <c r="AU1078" s="47"/>
      <c r="AV1078" s="47"/>
    </row>
    <row r="1079" spans="1:48" s="27" customFormat="1" ht="17.25" customHeight="1">
      <c r="A1079" s="12"/>
      <c r="B1079" s="97" t="s">
        <v>629</v>
      </c>
      <c r="C1079" s="15" t="s">
        <v>787</v>
      </c>
      <c r="D1079" s="51"/>
      <c r="E1079" s="51"/>
      <c r="F1079" s="51"/>
      <c r="G1079" s="51">
        <v>1</v>
      </c>
      <c r="H1079" s="51">
        <v>1</v>
      </c>
      <c r="I1079" s="51">
        <v>2</v>
      </c>
      <c r="J1079" s="51">
        <v>2</v>
      </c>
      <c r="K1079" s="51">
        <v>2</v>
      </c>
      <c r="L1079" s="40" t="s">
        <v>556</v>
      </c>
      <c r="M1079" s="40" t="s">
        <v>556</v>
      </c>
      <c r="N1079" s="40">
        <v>1</v>
      </c>
      <c r="O1079" s="40" t="s">
        <v>556</v>
      </c>
      <c r="P1079" s="40" t="s">
        <v>556</v>
      </c>
      <c r="Q1079" s="33"/>
      <c r="R1079" s="28"/>
      <c r="S1079" s="2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</row>
    <row r="1080" spans="1:48" s="27" customFormat="1" ht="17.25" customHeight="1">
      <c r="A1080" s="12"/>
      <c r="B1080" s="97" t="s">
        <v>555</v>
      </c>
      <c r="C1080" s="29" t="s">
        <v>445</v>
      </c>
      <c r="D1080" s="51"/>
      <c r="E1080" s="51"/>
      <c r="F1080" s="51"/>
      <c r="G1080" s="51">
        <v>1</v>
      </c>
      <c r="H1080" s="51">
        <v>1</v>
      </c>
      <c r="I1080" s="51">
        <v>1</v>
      </c>
      <c r="J1080" s="51">
        <v>1</v>
      </c>
      <c r="K1080" s="51">
        <v>1</v>
      </c>
      <c r="L1080" s="40" t="s">
        <v>556</v>
      </c>
      <c r="M1080" s="40">
        <v>1</v>
      </c>
      <c r="N1080" s="40" t="s">
        <v>556</v>
      </c>
      <c r="O1080" s="40" t="s">
        <v>556</v>
      </c>
      <c r="P1080" s="40" t="s">
        <v>556</v>
      </c>
      <c r="Q1080" s="33"/>
      <c r="R1080" s="28"/>
      <c r="S1080" s="2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</row>
    <row r="1081" spans="1:48" s="27" customFormat="1" ht="17.25" customHeight="1">
      <c r="A1081" s="12"/>
      <c r="B1081" s="97" t="s">
        <v>448</v>
      </c>
      <c r="C1081" s="29" t="s">
        <v>449</v>
      </c>
      <c r="D1081" s="51"/>
      <c r="E1081" s="51"/>
      <c r="F1081" s="51"/>
      <c r="G1081" s="51">
        <v>2</v>
      </c>
      <c r="H1081" s="51">
        <v>2</v>
      </c>
      <c r="I1081" s="51">
        <v>2</v>
      </c>
      <c r="J1081" s="51">
        <v>2</v>
      </c>
      <c r="K1081" s="51">
        <v>2</v>
      </c>
      <c r="L1081" s="40" t="s">
        <v>556</v>
      </c>
      <c r="M1081" s="40">
        <v>1</v>
      </c>
      <c r="N1081" s="40" t="s">
        <v>556</v>
      </c>
      <c r="O1081" s="40" t="s">
        <v>556</v>
      </c>
      <c r="P1081" s="40" t="s">
        <v>556</v>
      </c>
      <c r="Q1081" s="33"/>
      <c r="R1081" s="28"/>
      <c r="S1081" s="2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</row>
    <row r="1082" spans="1:48" s="18" customFormat="1" ht="17.25" customHeight="1">
      <c r="A1082" s="50"/>
      <c r="B1082" s="93" t="s">
        <v>670</v>
      </c>
      <c r="C1082" s="16"/>
      <c r="D1082" s="52"/>
      <c r="E1082" s="51"/>
      <c r="F1082" s="52"/>
      <c r="G1082" s="52"/>
      <c r="H1082" s="52"/>
      <c r="I1082" s="52"/>
      <c r="J1082" s="52"/>
      <c r="K1082" s="52"/>
      <c r="L1082" s="60">
        <v>2</v>
      </c>
      <c r="M1082" s="60">
        <v>2</v>
      </c>
      <c r="N1082" s="60">
        <v>1</v>
      </c>
      <c r="O1082" s="60">
        <v>1</v>
      </c>
      <c r="P1082" s="60" t="str">
        <f>P1084</f>
        <v> -</v>
      </c>
      <c r="Q1082" s="23"/>
      <c r="R1082" s="23"/>
      <c r="S1082" s="17"/>
      <c r="T1082" s="47"/>
      <c r="U1082" s="47"/>
      <c r="V1082" s="47"/>
      <c r="W1082" s="47"/>
      <c r="X1082" s="47"/>
      <c r="Y1082" s="47"/>
      <c r="Z1082" s="47"/>
      <c r="AA1082" s="47"/>
      <c r="AB1082" s="47"/>
      <c r="AC1082" s="47"/>
      <c r="AD1082" s="47"/>
      <c r="AE1082" s="47"/>
      <c r="AF1082" s="47"/>
      <c r="AG1082" s="47"/>
      <c r="AH1082" s="47"/>
      <c r="AI1082" s="47"/>
      <c r="AJ1082" s="47"/>
      <c r="AK1082" s="47"/>
      <c r="AL1082" s="47"/>
      <c r="AM1082" s="47"/>
      <c r="AN1082" s="47"/>
      <c r="AO1082" s="47"/>
      <c r="AP1082" s="47"/>
      <c r="AQ1082" s="47"/>
      <c r="AR1082" s="47"/>
      <c r="AS1082" s="47"/>
      <c r="AT1082" s="47"/>
      <c r="AU1082" s="47"/>
      <c r="AV1082" s="47"/>
    </row>
    <row r="1083" spans="1:48" s="27" customFormat="1" ht="17.25" customHeight="1">
      <c r="A1083" s="12"/>
      <c r="B1083" s="97" t="s">
        <v>646</v>
      </c>
      <c r="C1083" s="15" t="s">
        <v>597</v>
      </c>
      <c r="D1083" s="51"/>
      <c r="E1083" s="51"/>
      <c r="F1083" s="51"/>
      <c r="G1083" s="51">
        <v>1</v>
      </c>
      <c r="H1083" s="51">
        <v>3</v>
      </c>
      <c r="I1083" s="51">
        <v>4</v>
      </c>
      <c r="J1083" s="51">
        <v>5</v>
      </c>
      <c r="K1083" s="51">
        <v>5</v>
      </c>
      <c r="L1083" s="40" t="s">
        <v>556</v>
      </c>
      <c r="M1083" s="40">
        <v>2</v>
      </c>
      <c r="N1083" s="40">
        <v>1</v>
      </c>
      <c r="O1083" s="40">
        <v>1</v>
      </c>
      <c r="P1083" s="40" t="s">
        <v>556</v>
      </c>
      <c r="Q1083" s="33"/>
      <c r="R1083" s="33"/>
      <c r="S1083" s="33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</row>
    <row r="1084" spans="1:48" s="27" customFormat="1" ht="17.25" customHeight="1">
      <c r="A1084" s="12"/>
      <c r="B1084" s="97" t="s">
        <v>561</v>
      </c>
      <c r="C1084" s="66" t="s">
        <v>804</v>
      </c>
      <c r="D1084" s="51"/>
      <c r="E1084" s="51"/>
      <c r="F1084" s="51"/>
      <c r="G1084" s="51">
        <v>2</v>
      </c>
      <c r="H1084" s="51">
        <v>2</v>
      </c>
      <c r="I1084" s="51">
        <v>2</v>
      </c>
      <c r="J1084" s="51">
        <v>2</v>
      </c>
      <c r="K1084" s="51">
        <v>2</v>
      </c>
      <c r="L1084" s="40">
        <v>2</v>
      </c>
      <c r="M1084" s="40" t="s">
        <v>556</v>
      </c>
      <c r="N1084" s="40" t="s">
        <v>556</v>
      </c>
      <c r="O1084" s="40" t="s">
        <v>556</v>
      </c>
      <c r="P1084" s="40" t="s">
        <v>556</v>
      </c>
      <c r="Q1084" s="33"/>
      <c r="R1084" s="33"/>
      <c r="S1084" s="33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</row>
    <row r="1085" spans="1:188" s="205" customFormat="1" ht="19.5" customHeight="1">
      <c r="A1085" s="13">
        <v>50</v>
      </c>
      <c r="B1085" s="92" t="s">
        <v>226</v>
      </c>
      <c r="C1085" s="45"/>
      <c r="D1085" s="44">
        <v>622</v>
      </c>
      <c r="E1085" s="44">
        <v>175</v>
      </c>
      <c r="F1085" s="44">
        <v>680</v>
      </c>
      <c r="G1085" s="44">
        <v>680</v>
      </c>
      <c r="H1085" s="44">
        <v>680</v>
      </c>
      <c r="I1085" s="44">
        <v>680</v>
      </c>
      <c r="J1085" s="44"/>
      <c r="K1085" s="44">
        <v>680</v>
      </c>
      <c r="L1085" s="44">
        <f>L1086+L1105+L1107</f>
        <v>1</v>
      </c>
      <c r="M1085" s="44">
        <f>M1086+M1105+M1107</f>
        <v>31</v>
      </c>
      <c r="N1085" s="44">
        <f>N1086+N1105+N1107</f>
        <v>26</v>
      </c>
      <c r="O1085" s="44">
        <f>O1086+O1105+O1107</f>
        <v>22</v>
      </c>
      <c r="P1085" s="44">
        <f>P1086+P1105+P1107</f>
        <v>14</v>
      </c>
      <c r="Q1085" s="201" t="s">
        <v>648</v>
      </c>
      <c r="R1085" s="201">
        <v>2</v>
      </c>
      <c r="S1085" s="202" t="s">
        <v>940</v>
      </c>
      <c r="T1085" s="204"/>
      <c r="U1085" s="204"/>
      <c r="V1085" s="204"/>
      <c r="W1085" s="204"/>
      <c r="X1085" s="204"/>
      <c r="Y1085" s="204"/>
      <c r="Z1085" s="204"/>
      <c r="AA1085" s="204"/>
      <c r="AB1085" s="204"/>
      <c r="AC1085" s="204"/>
      <c r="AD1085" s="204"/>
      <c r="AE1085" s="204"/>
      <c r="AF1085" s="204"/>
      <c r="AG1085" s="204"/>
      <c r="AH1085" s="204"/>
      <c r="AI1085" s="204"/>
      <c r="AJ1085" s="204"/>
      <c r="AK1085" s="204"/>
      <c r="AL1085" s="204"/>
      <c r="AM1085" s="204"/>
      <c r="AN1085" s="204"/>
      <c r="AO1085" s="204"/>
      <c r="AP1085" s="204"/>
      <c r="AQ1085" s="204"/>
      <c r="AR1085" s="204"/>
      <c r="AS1085" s="204"/>
      <c r="AT1085" s="204"/>
      <c r="AU1085" s="204"/>
      <c r="AV1085" s="204"/>
      <c r="AW1085" s="204"/>
      <c r="AX1085" s="204"/>
      <c r="AY1085" s="204"/>
      <c r="AZ1085" s="204"/>
      <c r="BA1085" s="204"/>
      <c r="BB1085" s="204"/>
      <c r="BC1085" s="204"/>
      <c r="BD1085" s="204"/>
      <c r="BE1085" s="204"/>
      <c r="BF1085" s="204"/>
      <c r="BG1085" s="204"/>
      <c r="BH1085" s="204"/>
      <c r="BI1085" s="204"/>
      <c r="BJ1085" s="204"/>
      <c r="BK1085" s="204"/>
      <c r="BL1085" s="204"/>
      <c r="BM1085" s="204"/>
      <c r="BN1085" s="204"/>
      <c r="BO1085" s="204"/>
      <c r="BP1085" s="204"/>
      <c r="BQ1085" s="204"/>
      <c r="BR1085" s="204"/>
      <c r="BS1085" s="204"/>
      <c r="BT1085" s="204"/>
      <c r="BU1085" s="204"/>
      <c r="BV1085" s="204"/>
      <c r="BW1085" s="204"/>
      <c r="BX1085" s="204"/>
      <c r="BY1085" s="204"/>
      <c r="BZ1085" s="204"/>
      <c r="CA1085" s="204"/>
      <c r="CB1085" s="204"/>
      <c r="CC1085" s="204"/>
      <c r="CD1085" s="204"/>
      <c r="CE1085" s="204"/>
      <c r="CF1085" s="204"/>
      <c r="CG1085" s="204"/>
      <c r="CH1085" s="204"/>
      <c r="CI1085" s="204"/>
      <c r="CJ1085" s="204"/>
      <c r="CK1085" s="204"/>
      <c r="CL1085" s="204"/>
      <c r="CM1085" s="204"/>
      <c r="CN1085" s="204"/>
      <c r="CO1085" s="204"/>
      <c r="CP1085" s="204"/>
      <c r="CQ1085" s="204"/>
      <c r="CR1085" s="204"/>
      <c r="CS1085" s="204"/>
      <c r="CT1085" s="204"/>
      <c r="CU1085" s="204"/>
      <c r="CV1085" s="204"/>
      <c r="CW1085" s="204"/>
      <c r="CX1085" s="204"/>
      <c r="CY1085" s="204"/>
      <c r="CZ1085" s="204"/>
      <c r="DA1085" s="204"/>
      <c r="DB1085" s="204"/>
      <c r="DC1085" s="204"/>
      <c r="DD1085" s="204"/>
      <c r="DE1085" s="204"/>
      <c r="DF1085" s="204"/>
      <c r="DG1085" s="204"/>
      <c r="DH1085" s="204"/>
      <c r="DI1085" s="204"/>
      <c r="DJ1085" s="204"/>
      <c r="DK1085" s="204"/>
      <c r="DL1085" s="204"/>
      <c r="DM1085" s="204"/>
      <c r="DN1085" s="204"/>
      <c r="DO1085" s="204"/>
      <c r="DP1085" s="204"/>
      <c r="DQ1085" s="204"/>
      <c r="DR1085" s="204"/>
      <c r="DS1085" s="204"/>
      <c r="DT1085" s="204"/>
      <c r="DU1085" s="204"/>
      <c r="DV1085" s="204"/>
      <c r="DW1085" s="204"/>
      <c r="DX1085" s="204"/>
      <c r="DY1085" s="204"/>
      <c r="DZ1085" s="204"/>
      <c r="EA1085" s="204"/>
      <c r="EB1085" s="204"/>
      <c r="EC1085" s="204"/>
      <c r="ED1085" s="204"/>
      <c r="EE1085" s="204"/>
      <c r="EF1085" s="204"/>
      <c r="EG1085" s="204"/>
      <c r="EH1085" s="204"/>
      <c r="EI1085" s="204"/>
      <c r="EJ1085" s="204"/>
      <c r="EK1085" s="204"/>
      <c r="EL1085" s="204"/>
      <c r="EM1085" s="204"/>
      <c r="EN1085" s="204"/>
      <c r="EO1085" s="204"/>
      <c r="EP1085" s="204"/>
      <c r="EQ1085" s="204"/>
      <c r="ER1085" s="204"/>
      <c r="ES1085" s="204"/>
      <c r="ET1085" s="204"/>
      <c r="EU1085" s="204"/>
      <c r="EV1085" s="204"/>
      <c r="EW1085" s="204"/>
      <c r="EX1085" s="204"/>
      <c r="EY1085" s="204"/>
      <c r="EZ1085" s="204"/>
      <c r="FA1085" s="204"/>
      <c r="FB1085" s="204"/>
      <c r="FC1085" s="204"/>
      <c r="FD1085" s="204"/>
      <c r="FE1085" s="204"/>
      <c r="FF1085" s="204"/>
      <c r="FG1085" s="204"/>
      <c r="FH1085" s="204"/>
      <c r="FI1085" s="204"/>
      <c r="FJ1085" s="204"/>
      <c r="FK1085" s="204"/>
      <c r="FL1085" s="204"/>
      <c r="FM1085" s="204"/>
      <c r="FN1085" s="204"/>
      <c r="FO1085" s="204"/>
      <c r="FP1085" s="204"/>
      <c r="FQ1085" s="204"/>
      <c r="FR1085" s="204"/>
      <c r="FS1085" s="204"/>
      <c r="FT1085" s="204"/>
      <c r="FU1085" s="204"/>
      <c r="FV1085" s="204"/>
      <c r="FW1085" s="204"/>
      <c r="FX1085" s="204"/>
      <c r="FY1085" s="204"/>
      <c r="FZ1085" s="204"/>
      <c r="GA1085" s="204"/>
      <c r="GB1085" s="204"/>
      <c r="GC1085" s="204"/>
      <c r="GD1085" s="204"/>
      <c r="GE1085" s="204"/>
      <c r="GF1085" s="204"/>
    </row>
    <row r="1086" spans="1:57" s="213" customFormat="1" ht="17.25" customHeight="1">
      <c r="A1086" s="13"/>
      <c r="B1086" s="104" t="s">
        <v>669</v>
      </c>
      <c r="C1086" s="15"/>
      <c r="D1086" s="340">
        <f>D1087+D1088+D1089+D1090+D1091+D1092+D1093+D1094+D1095+D1096+D1097+D1098+D1099+D1100+D1101+D1102+D1103+D1104</f>
        <v>217</v>
      </c>
      <c r="E1086" s="340">
        <f aca="true" t="shared" si="46" ref="E1086:P1086">E1087+E1088+E1089+E1090+E1091+E1092+E1093+E1094+E1095+E1096+E1097+E1098+E1099+E1100+E1101+E1102+E1103+E1104</f>
        <v>80</v>
      </c>
      <c r="F1086" s="340">
        <f t="shared" si="46"/>
        <v>164</v>
      </c>
      <c r="G1086" s="340">
        <f t="shared" si="46"/>
        <v>164</v>
      </c>
      <c r="H1086" s="340">
        <f t="shared" si="46"/>
        <v>164</v>
      </c>
      <c r="I1086" s="340">
        <f t="shared" si="46"/>
        <v>164</v>
      </c>
      <c r="J1086" s="340">
        <f t="shared" si="46"/>
        <v>0</v>
      </c>
      <c r="K1086" s="340">
        <f t="shared" si="46"/>
        <v>164</v>
      </c>
      <c r="L1086" s="340">
        <f t="shared" si="46"/>
        <v>1</v>
      </c>
      <c r="M1086" s="340">
        <f t="shared" si="46"/>
        <v>20</v>
      </c>
      <c r="N1086" s="340">
        <f t="shared" si="46"/>
        <v>20</v>
      </c>
      <c r="O1086" s="340">
        <f t="shared" si="46"/>
        <v>14</v>
      </c>
      <c r="P1086" s="340">
        <f t="shared" si="46"/>
        <v>9</v>
      </c>
      <c r="Q1086" s="214"/>
      <c r="R1086" s="212"/>
      <c r="S1086" s="212"/>
      <c r="BA1086" s="214"/>
      <c r="BB1086" s="212"/>
      <c r="BC1086" s="212"/>
      <c r="BD1086" s="212"/>
      <c r="BE1086" s="212"/>
    </row>
    <row r="1087" spans="1:57" s="232" customFormat="1" ht="17.25" customHeight="1">
      <c r="A1087" s="388"/>
      <c r="B1087" s="105" t="s">
        <v>560</v>
      </c>
      <c r="C1087" s="15" t="s">
        <v>1124</v>
      </c>
      <c r="D1087" s="342">
        <v>7</v>
      </c>
      <c r="E1087" s="342">
        <v>2</v>
      </c>
      <c r="F1087" s="342"/>
      <c r="G1087" s="342"/>
      <c r="H1087" s="342"/>
      <c r="I1087" s="342"/>
      <c r="J1087" s="342"/>
      <c r="K1087" s="342"/>
      <c r="L1087" s="72"/>
      <c r="M1087" s="72">
        <v>3</v>
      </c>
      <c r="N1087" s="72">
        <v>2</v>
      </c>
      <c r="O1087" s="72">
        <v>1</v>
      </c>
      <c r="P1087" s="72"/>
      <c r="Q1087" s="233"/>
      <c r="R1087" s="231"/>
      <c r="S1087" s="231"/>
      <c r="BA1087" s="233"/>
      <c r="BB1087" s="231"/>
      <c r="BC1087" s="231"/>
      <c r="BD1087" s="231"/>
      <c r="BE1087" s="231"/>
    </row>
    <row r="1088" spans="1:57" s="232" customFormat="1" ht="17.25" customHeight="1">
      <c r="A1088" s="388"/>
      <c r="B1088" s="105" t="s">
        <v>1351</v>
      </c>
      <c r="C1088" s="15" t="s">
        <v>1352</v>
      </c>
      <c r="D1088" s="342">
        <v>8</v>
      </c>
      <c r="E1088" s="342">
        <v>3</v>
      </c>
      <c r="F1088" s="342"/>
      <c r="G1088" s="342"/>
      <c r="H1088" s="342"/>
      <c r="I1088" s="342"/>
      <c r="J1088" s="342"/>
      <c r="K1088" s="342"/>
      <c r="L1088" s="72"/>
      <c r="M1088" s="72"/>
      <c r="N1088" s="72">
        <v>1</v>
      </c>
      <c r="O1088" s="72"/>
      <c r="P1088" s="72"/>
      <c r="Q1088" s="233"/>
      <c r="R1088" s="231"/>
      <c r="S1088" s="231"/>
      <c r="BA1088" s="233"/>
      <c r="BB1088" s="231"/>
      <c r="BC1088" s="231"/>
      <c r="BD1088" s="231"/>
      <c r="BE1088" s="231"/>
    </row>
    <row r="1089" spans="1:57" s="213" customFormat="1" ht="17.25" customHeight="1">
      <c r="A1089" s="13"/>
      <c r="B1089" s="105" t="s">
        <v>1125</v>
      </c>
      <c r="C1089" s="15" t="s">
        <v>437</v>
      </c>
      <c r="D1089" s="40">
        <v>39</v>
      </c>
      <c r="E1089" s="40">
        <v>16</v>
      </c>
      <c r="F1089" s="40">
        <v>7</v>
      </c>
      <c r="G1089" s="40">
        <v>7</v>
      </c>
      <c r="H1089" s="40">
        <v>7</v>
      </c>
      <c r="I1089" s="40">
        <v>7</v>
      </c>
      <c r="J1089" s="40"/>
      <c r="K1089" s="40">
        <v>7</v>
      </c>
      <c r="L1089" s="40"/>
      <c r="M1089" s="40">
        <v>4</v>
      </c>
      <c r="N1089" s="40">
        <v>3</v>
      </c>
      <c r="O1089" s="40">
        <v>2</v>
      </c>
      <c r="P1089" s="40">
        <v>6</v>
      </c>
      <c r="Q1089" s="214"/>
      <c r="R1089" s="212"/>
      <c r="S1089" s="212"/>
      <c r="BA1089" s="214"/>
      <c r="BB1089" s="212"/>
      <c r="BC1089" s="212"/>
      <c r="BD1089" s="212"/>
      <c r="BE1089" s="212"/>
    </row>
    <row r="1090" spans="1:57" s="213" customFormat="1" ht="17.25" customHeight="1">
      <c r="A1090" s="13"/>
      <c r="B1090" s="105" t="s">
        <v>997</v>
      </c>
      <c r="C1090" s="15" t="s">
        <v>1130</v>
      </c>
      <c r="D1090" s="40">
        <v>10</v>
      </c>
      <c r="E1090" s="40">
        <v>3</v>
      </c>
      <c r="F1090" s="40">
        <v>7</v>
      </c>
      <c r="G1090" s="40">
        <v>7</v>
      </c>
      <c r="H1090" s="40">
        <v>7</v>
      </c>
      <c r="I1090" s="40">
        <v>7</v>
      </c>
      <c r="J1090" s="40"/>
      <c r="K1090" s="40">
        <v>7</v>
      </c>
      <c r="L1090" s="40"/>
      <c r="M1090" s="40">
        <v>1</v>
      </c>
      <c r="N1090" s="40">
        <v>1</v>
      </c>
      <c r="O1090" s="40"/>
      <c r="P1090" s="40"/>
      <c r="Q1090" s="214"/>
      <c r="R1090" s="212"/>
      <c r="S1090" s="212"/>
      <c r="BA1090" s="214"/>
      <c r="BB1090" s="212"/>
      <c r="BC1090" s="212"/>
      <c r="BD1090" s="212"/>
      <c r="BE1090" s="212"/>
    </row>
    <row r="1091" spans="1:57" s="213" customFormat="1" ht="17.25" customHeight="1">
      <c r="A1091" s="13"/>
      <c r="B1091" s="105" t="s">
        <v>434</v>
      </c>
      <c r="C1091" s="15" t="s">
        <v>435</v>
      </c>
      <c r="D1091" s="40">
        <v>10</v>
      </c>
      <c r="E1091" s="40">
        <v>4</v>
      </c>
      <c r="F1091" s="40">
        <v>9</v>
      </c>
      <c r="G1091" s="40">
        <v>9</v>
      </c>
      <c r="H1091" s="40">
        <v>9</v>
      </c>
      <c r="I1091" s="40">
        <v>9</v>
      </c>
      <c r="J1091" s="40"/>
      <c r="K1091" s="40">
        <v>9</v>
      </c>
      <c r="L1091" s="40">
        <v>1</v>
      </c>
      <c r="M1091" s="40">
        <v>1</v>
      </c>
      <c r="N1091" s="40">
        <v>1</v>
      </c>
      <c r="O1091" s="40"/>
      <c r="P1091" s="40"/>
      <c r="Q1091" s="214"/>
      <c r="R1091" s="212"/>
      <c r="S1091" s="212"/>
      <c r="BA1091" s="214"/>
      <c r="BB1091" s="212"/>
      <c r="BC1091" s="212"/>
      <c r="BD1091" s="212"/>
      <c r="BE1091" s="212"/>
    </row>
    <row r="1092" spans="1:57" s="213" customFormat="1" ht="17.25" customHeight="1">
      <c r="A1092" s="13"/>
      <c r="B1092" s="105" t="s">
        <v>1126</v>
      </c>
      <c r="C1092" s="15" t="s">
        <v>982</v>
      </c>
      <c r="D1092" s="40">
        <v>6</v>
      </c>
      <c r="E1092" s="40">
        <v>1</v>
      </c>
      <c r="F1092" s="40"/>
      <c r="G1092" s="40"/>
      <c r="H1092" s="40"/>
      <c r="I1092" s="40"/>
      <c r="J1092" s="40"/>
      <c r="K1092" s="40"/>
      <c r="L1092" s="40"/>
      <c r="M1092" s="40">
        <v>1</v>
      </c>
      <c r="N1092" s="40"/>
      <c r="O1092" s="40"/>
      <c r="P1092" s="40"/>
      <c r="Q1092" s="214"/>
      <c r="R1092" s="212"/>
      <c r="S1092" s="212"/>
      <c r="BA1092" s="214"/>
      <c r="BB1092" s="212"/>
      <c r="BC1092" s="212"/>
      <c r="BD1092" s="212"/>
      <c r="BE1092" s="212"/>
    </row>
    <row r="1093" spans="1:57" s="213" customFormat="1" ht="17.25" customHeight="1">
      <c r="A1093" s="13"/>
      <c r="B1093" s="97" t="s">
        <v>1127</v>
      </c>
      <c r="C1093" s="352" t="s">
        <v>441</v>
      </c>
      <c r="D1093" s="341">
        <v>18</v>
      </c>
      <c r="E1093" s="341">
        <v>6</v>
      </c>
      <c r="F1093" s="40">
        <v>2</v>
      </c>
      <c r="G1093" s="40">
        <v>2</v>
      </c>
      <c r="H1093" s="40">
        <v>2</v>
      </c>
      <c r="I1093" s="40">
        <v>2</v>
      </c>
      <c r="J1093" s="40"/>
      <c r="K1093" s="40">
        <v>2</v>
      </c>
      <c r="L1093" s="40"/>
      <c r="M1093" s="341">
        <v>1</v>
      </c>
      <c r="N1093" s="341">
        <v>1</v>
      </c>
      <c r="O1093" s="341">
        <v>1</v>
      </c>
      <c r="P1093" s="341"/>
      <c r="Q1093" s="214"/>
      <c r="R1093" s="212"/>
      <c r="S1093" s="212"/>
      <c r="BA1093" s="214"/>
      <c r="BB1093" s="212"/>
      <c r="BC1093" s="212"/>
      <c r="BD1093" s="212"/>
      <c r="BE1093" s="212"/>
    </row>
    <row r="1094" spans="1:57" s="213" customFormat="1" ht="17.25" customHeight="1">
      <c r="A1094" s="13"/>
      <c r="B1094" s="97" t="s">
        <v>1128</v>
      </c>
      <c r="C1094" s="352" t="s">
        <v>1315</v>
      </c>
      <c r="D1094" s="341">
        <v>21</v>
      </c>
      <c r="E1094" s="341">
        <v>7</v>
      </c>
      <c r="F1094" s="40">
        <v>54</v>
      </c>
      <c r="G1094" s="40">
        <v>54</v>
      </c>
      <c r="H1094" s="40">
        <v>54</v>
      </c>
      <c r="I1094" s="40">
        <v>54</v>
      </c>
      <c r="J1094" s="40"/>
      <c r="K1094" s="40">
        <v>54</v>
      </c>
      <c r="L1094" s="40"/>
      <c r="M1094" s="341">
        <v>1</v>
      </c>
      <c r="N1094" s="341">
        <v>2</v>
      </c>
      <c r="O1094" s="341">
        <v>1</v>
      </c>
      <c r="P1094" s="341">
        <v>1</v>
      </c>
      <c r="Q1094" s="214"/>
      <c r="R1094" s="212"/>
      <c r="S1094" s="212"/>
      <c r="BA1094" s="214"/>
      <c r="BB1094" s="212"/>
      <c r="BC1094" s="212"/>
      <c r="BD1094" s="212"/>
      <c r="BE1094" s="212"/>
    </row>
    <row r="1095" spans="1:57" s="213" customFormat="1" ht="17.25" customHeight="1">
      <c r="A1095" s="13"/>
      <c r="B1095" s="97" t="s">
        <v>1129</v>
      </c>
      <c r="C1095" s="352" t="s">
        <v>1293</v>
      </c>
      <c r="D1095" s="341">
        <v>8</v>
      </c>
      <c r="E1095" s="341">
        <v>5</v>
      </c>
      <c r="F1095" s="40">
        <v>12</v>
      </c>
      <c r="G1095" s="40">
        <v>12</v>
      </c>
      <c r="H1095" s="40">
        <v>12</v>
      </c>
      <c r="I1095" s="40">
        <v>12</v>
      </c>
      <c r="J1095" s="40"/>
      <c r="K1095" s="40">
        <v>12</v>
      </c>
      <c r="L1095" s="40"/>
      <c r="M1095" s="341">
        <v>1</v>
      </c>
      <c r="N1095" s="341">
        <v>1</v>
      </c>
      <c r="O1095" s="341">
        <v>1</v>
      </c>
      <c r="P1095" s="341"/>
      <c r="Q1095" s="214"/>
      <c r="R1095" s="212"/>
      <c r="S1095" s="212"/>
      <c r="BA1095" s="214"/>
      <c r="BB1095" s="212"/>
      <c r="BC1095" s="212"/>
      <c r="BD1095" s="212"/>
      <c r="BE1095" s="212"/>
    </row>
    <row r="1096" spans="1:57" s="213" customFormat="1" ht="31.5" customHeight="1">
      <c r="A1096" s="13"/>
      <c r="B1096" s="97" t="s">
        <v>1132</v>
      </c>
      <c r="C1096" s="352" t="s">
        <v>1131</v>
      </c>
      <c r="D1096" s="341">
        <v>1</v>
      </c>
      <c r="E1096" s="341">
        <v>1</v>
      </c>
      <c r="F1096" s="40">
        <v>15</v>
      </c>
      <c r="G1096" s="40">
        <v>15</v>
      </c>
      <c r="H1096" s="40">
        <v>15</v>
      </c>
      <c r="I1096" s="40">
        <v>15</v>
      </c>
      <c r="J1096" s="40"/>
      <c r="K1096" s="40">
        <v>15</v>
      </c>
      <c r="L1096" s="40"/>
      <c r="M1096" s="341"/>
      <c r="N1096" s="341">
        <v>1</v>
      </c>
      <c r="O1096" s="341"/>
      <c r="P1096" s="341"/>
      <c r="Q1096" s="214"/>
      <c r="R1096" s="212"/>
      <c r="S1096" s="212"/>
      <c r="BA1096" s="214"/>
      <c r="BB1096" s="212"/>
      <c r="BC1096" s="212"/>
      <c r="BD1096" s="212"/>
      <c r="BE1096" s="212"/>
    </row>
    <row r="1097" spans="1:57" s="213" customFormat="1" ht="17.25" customHeight="1">
      <c r="A1097" s="13"/>
      <c r="B1097" s="97" t="s">
        <v>1133</v>
      </c>
      <c r="C1097" s="352" t="s">
        <v>1065</v>
      </c>
      <c r="D1097" s="341">
        <v>1</v>
      </c>
      <c r="E1097" s="341"/>
      <c r="F1097" s="40">
        <v>5</v>
      </c>
      <c r="G1097" s="40">
        <v>5</v>
      </c>
      <c r="H1097" s="40">
        <v>5</v>
      </c>
      <c r="I1097" s="40">
        <v>5</v>
      </c>
      <c r="J1097" s="40"/>
      <c r="K1097" s="40">
        <v>5</v>
      </c>
      <c r="L1097" s="40"/>
      <c r="M1097" s="341">
        <v>1</v>
      </c>
      <c r="N1097" s="341"/>
      <c r="O1097" s="341"/>
      <c r="P1097" s="341"/>
      <c r="Q1097" s="214"/>
      <c r="R1097" s="212"/>
      <c r="S1097" s="212"/>
      <c r="BA1097" s="214"/>
      <c r="BB1097" s="212"/>
      <c r="BC1097" s="212"/>
      <c r="BD1097" s="212"/>
      <c r="BE1097" s="212"/>
    </row>
    <row r="1098" spans="1:57" s="213" customFormat="1" ht="17.25" customHeight="1">
      <c r="A1098" s="13"/>
      <c r="B1098" s="97" t="s">
        <v>1134</v>
      </c>
      <c r="C1098" s="352" t="s">
        <v>449</v>
      </c>
      <c r="D1098" s="341">
        <v>20</v>
      </c>
      <c r="E1098" s="341">
        <v>9</v>
      </c>
      <c r="F1098" s="40">
        <v>9</v>
      </c>
      <c r="G1098" s="40">
        <v>9</v>
      </c>
      <c r="H1098" s="40">
        <v>9</v>
      </c>
      <c r="I1098" s="40">
        <v>9</v>
      </c>
      <c r="J1098" s="40"/>
      <c r="K1098" s="40">
        <v>9</v>
      </c>
      <c r="L1098" s="40"/>
      <c r="M1098" s="341">
        <v>2</v>
      </c>
      <c r="N1098" s="341">
        <v>2</v>
      </c>
      <c r="O1098" s="341">
        <v>2</v>
      </c>
      <c r="P1098" s="341">
        <v>1</v>
      </c>
      <c r="Q1098" s="214"/>
      <c r="R1098" s="212"/>
      <c r="S1098" s="212"/>
      <c r="BA1098" s="214"/>
      <c r="BB1098" s="212"/>
      <c r="BC1098" s="212"/>
      <c r="BD1098" s="212"/>
      <c r="BE1098" s="212"/>
    </row>
    <row r="1099" spans="1:57" s="213" customFormat="1" ht="17.25" customHeight="1">
      <c r="A1099" s="13"/>
      <c r="B1099" s="97" t="s">
        <v>1143</v>
      </c>
      <c r="C1099" s="352" t="s">
        <v>439</v>
      </c>
      <c r="D1099" s="341">
        <v>13</v>
      </c>
      <c r="E1099" s="341">
        <v>3</v>
      </c>
      <c r="F1099" s="40">
        <v>15</v>
      </c>
      <c r="G1099" s="40">
        <v>15</v>
      </c>
      <c r="H1099" s="40">
        <v>15</v>
      </c>
      <c r="I1099" s="40">
        <v>15</v>
      </c>
      <c r="J1099" s="40"/>
      <c r="K1099" s="40">
        <v>15</v>
      </c>
      <c r="L1099" s="40"/>
      <c r="M1099" s="341">
        <v>1</v>
      </c>
      <c r="N1099" s="341">
        <v>1</v>
      </c>
      <c r="O1099" s="341">
        <v>1</v>
      </c>
      <c r="P1099" s="341"/>
      <c r="Q1099" s="214"/>
      <c r="R1099" s="212"/>
      <c r="S1099" s="212"/>
      <c r="BA1099" s="214"/>
      <c r="BB1099" s="212"/>
      <c r="BC1099" s="212"/>
      <c r="BD1099" s="212"/>
      <c r="BE1099" s="212"/>
    </row>
    <row r="1100" spans="1:57" s="213" customFormat="1" ht="17.25" customHeight="1">
      <c r="A1100" s="13"/>
      <c r="B1100" s="97" t="s">
        <v>1144</v>
      </c>
      <c r="C1100" s="352" t="s">
        <v>1322</v>
      </c>
      <c r="D1100" s="341">
        <v>11</v>
      </c>
      <c r="E1100" s="341">
        <v>4</v>
      </c>
      <c r="F1100" s="40">
        <v>19</v>
      </c>
      <c r="G1100" s="40">
        <v>19</v>
      </c>
      <c r="H1100" s="40">
        <v>19</v>
      </c>
      <c r="I1100" s="40">
        <v>19</v>
      </c>
      <c r="J1100" s="40"/>
      <c r="K1100" s="40">
        <v>19</v>
      </c>
      <c r="L1100" s="40"/>
      <c r="M1100" s="341"/>
      <c r="N1100" s="341">
        <v>1</v>
      </c>
      <c r="O1100" s="341">
        <v>1</v>
      </c>
      <c r="P1100" s="341"/>
      <c r="Q1100" s="214"/>
      <c r="R1100" s="212"/>
      <c r="S1100" s="212"/>
      <c r="BA1100" s="214"/>
      <c r="BB1100" s="212"/>
      <c r="BC1100" s="212"/>
      <c r="BD1100" s="212"/>
      <c r="BE1100" s="212"/>
    </row>
    <row r="1101" spans="1:57" s="213" customFormat="1" ht="17.25" customHeight="1">
      <c r="A1101" s="13"/>
      <c r="B1101" s="97" t="s">
        <v>1145</v>
      </c>
      <c r="C1101" s="352" t="s">
        <v>1296</v>
      </c>
      <c r="D1101" s="341">
        <v>9</v>
      </c>
      <c r="E1101" s="341">
        <v>4</v>
      </c>
      <c r="F1101" s="40">
        <v>8</v>
      </c>
      <c r="G1101" s="40">
        <v>8</v>
      </c>
      <c r="H1101" s="40">
        <v>8</v>
      </c>
      <c r="I1101" s="40">
        <v>8</v>
      </c>
      <c r="J1101" s="40"/>
      <c r="K1101" s="40">
        <v>8</v>
      </c>
      <c r="L1101" s="40"/>
      <c r="M1101" s="341">
        <v>1</v>
      </c>
      <c r="N1101" s="341">
        <v>1</v>
      </c>
      <c r="O1101" s="341">
        <v>2</v>
      </c>
      <c r="P1101" s="341"/>
      <c r="Q1101" s="214"/>
      <c r="R1101" s="212"/>
      <c r="S1101" s="212"/>
      <c r="BA1101" s="214"/>
      <c r="BB1101" s="212"/>
      <c r="BC1101" s="212"/>
      <c r="BD1101" s="212"/>
      <c r="BE1101" s="212"/>
    </row>
    <row r="1102" spans="1:57" s="213" customFormat="1" ht="17.25" customHeight="1">
      <c r="A1102" s="13"/>
      <c r="B1102" s="97" t="s">
        <v>1146</v>
      </c>
      <c r="C1102" s="352" t="s">
        <v>1330</v>
      </c>
      <c r="D1102" s="341">
        <v>8</v>
      </c>
      <c r="E1102" s="341">
        <v>1</v>
      </c>
      <c r="F1102" s="40">
        <v>1</v>
      </c>
      <c r="G1102" s="40">
        <v>1</v>
      </c>
      <c r="H1102" s="40">
        <v>1</v>
      </c>
      <c r="I1102" s="40">
        <v>1</v>
      </c>
      <c r="J1102" s="40"/>
      <c r="K1102" s="40">
        <v>1</v>
      </c>
      <c r="L1102" s="40"/>
      <c r="M1102" s="341"/>
      <c r="N1102" s="341">
        <v>1</v>
      </c>
      <c r="O1102" s="341"/>
      <c r="P1102" s="341"/>
      <c r="Q1102" s="214"/>
      <c r="R1102" s="212"/>
      <c r="S1102" s="212"/>
      <c r="BA1102" s="214"/>
      <c r="BB1102" s="212"/>
      <c r="BC1102" s="212"/>
      <c r="BD1102" s="212"/>
      <c r="BE1102" s="212"/>
    </row>
    <row r="1103" spans="1:57" s="213" customFormat="1" ht="17.25" customHeight="1">
      <c r="A1103" s="13"/>
      <c r="B1103" s="97" t="s">
        <v>1147</v>
      </c>
      <c r="C1103" s="352" t="s">
        <v>565</v>
      </c>
      <c r="D1103" s="341">
        <v>23</v>
      </c>
      <c r="E1103" s="341">
        <v>11</v>
      </c>
      <c r="F1103" s="40">
        <v>1</v>
      </c>
      <c r="G1103" s="40">
        <v>1</v>
      </c>
      <c r="H1103" s="40">
        <v>1</v>
      </c>
      <c r="I1103" s="40">
        <v>1</v>
      </c>
      <c r="J1103" s="40"/>
      <c r="K1103" s="40">
        <v>1</v>
      </c>
      <c r="L1103" s="40"/>
      <c r="M1103" s="341">
        <v>2</v>
      </c>
      <c r="N1103" s="341">
        <v>1</v>
      </c>
      <c r="O1103" s="341">
        <v>1</v>
      </c>
      <c r="P1103" s="341">
        <v>1</v>
      </c>
      <c r="Q1103" s="214"/>
      <c r="R1103" s="212"/>
      <c r="S1103" s="212"/>
      <c r="BA1103" s="214"/>
      <c r="BB1103" s="212"/>
      <c r="BC1103" s="212"/>
      <c r="BD1103" s="212"/>
      <c r="BE1103" s="212"/>
    </row>
    <row r="1104" spans="1:57" s="213" customFormat="1" ht="17.25" customHeight="1">
      <c r="A1104" s="13"/>
      <c r="B1104" s="97" t="s">
        <v>1148</v>
      </c>
      <c r="C1104" s="352" t="s">
        <v>1317</v>
      </c>
      <c r="D1104" s="341">
        <v>4</v>
      </c>
      <c r="E1104" s="341"/>
      <c r="F1104" s="40"/>
      <c r="G1104" s="40"/>
      <c r="H1104" s="40"/>
      <c r="I1104" s="40"/>
      <c r="J1104" s="40"/>
      <c r="K1104" s="40"/>
      <c r="L1104" s="40"/>
      <c r="M1104" s="341"/>
      <c r="N1104" s="341"/>
      <c r="O1104" s="341">
        <v>1</v>
      </c>
      <c r="P1104" s="341"/>
      <c r="Q1104" s="214"/>
      <c r="R1104" s="212"/>
      <c r="S1104" s="212"/>
      <c r="BA1104" s="214"/>
      <c r="BB1104" s="212"/>
      <c r="BC1104" s="212"/>
      <c r="BD1104" s="212"/>
      <c r="BE1104" s="212"/>
    </row>
    <row r="1105" spans="1:57" s="236" customFormat="1" ht="17.25" customHeight="1">
      <c r="A1105" s="50"/>
      <c r="B1105" s="93" t="s">
        <v>999</v>
      </c>
      <c r="C1105" s="389"/>
      <c r="D1105" s="390">
        <v>7</v>
      </c>
      <c r="E1105" s="390">
        <v>6</v>
      </c>
      <c r="F1105" s="60"/>
      <c r="G1105" s="60"/>
      <c r="H1105" s="60"/>
      <c r="I1105" s="60"/>
      <c r="J1105" s="60"/>
      <c r="K1105" s="60"/>
      <c r="L1105" s="60"/>
      <c r="M1105" s="390">
        <v>1</v>
      </c>
      <c r="N1105" s="390">
        <v>2</v>
      </c>
      <c r="O1105" s="390">
        <v>1</v>
      </c>
      <c r="P1105" s="391"/>
      <c r="Q1105" s="234"/>
      <c r="R1105" s="235"/>
      <c r="S1105" s="235"/>
      <c r="BA1105" s="234"/>
      <c r="BB1105" s="235"/>
      <c r="BC1105" s="235"/>
      <c r="BD1105" s="235"/>
      <c r="BE1105" s="235"/>
    </row>
    <row r="1106" spans="1:57" s="213" customFormat="1" ht="17.25" customHeight="1">
      <c r="A1106" s="13"/>
      <c r="B1106" s="97" t="s">
        <v>561</v>
      </c>
      <c r="C1106" s="352" t="s">
        <v>804</v>
      </c>
      <c r="D1106" s="341">
        <v>7</v>
      </c>
      <c r="E1106" s="341">
        <v>6</v>
      </c>
      <c r="F1106" s="40"/>
      <c r="G1106" s="40"/>
      <c r="H1106" s="40"/>
      <c r="I1106" s="40"/>
      <c r="J1106" s="40"/>
      <c r="K1106" s="40"/>
      <c r="L1106" s="40"/>
      <c r="M1106" s="341">
        <v>1</v>
      </c>
      <c r="N1106" s="341">
        <v>2</v>
      </c>
      <c r="O1106" s="341">
        <v>1</v>
      </c>
      <c r="P1106" s="341"/>
      <c r="Q1106" s="214"/>
      <c r="R1106" s="212"/>
      <c r="S1106" s="212"/>
      <c r="BA1106" s="214"/>
      <c r="BB1106" s="212"/>
      <c r="BC1106" s="212"/>
      <c r="BD1106" s="212"/>
      <c r="BE1106" s="212"/>
    </row>
    <row r="1107" spans="1:57" s="213" customFormat="1" ht="17.25" customHeight="1">
      <c r="A1107" s="13"/>
      <c r="B1107" s="104" t="s">
        <v>37</v>
      </c>
      <c r="C1107" s="15"/>
      <c r="D1107" s="340">
        <f>D1108+D1109+D1110+D1111+D1112+D1113+D1114+D1115+D1116</f>
        <v>48</v>
      </c>
      <c r="E1107" s="340">
        <f aca="true" t="shared" si="47" ref="E1107:P1107">E1108+E1109+E1110+E1111+E1112+E1113+E1114+E1115+E1116</f>
        <v>37</v>
      </c>
      <c r="F1107" s="340" t="e">
        <f t="shared" si="47"/>
        <v>#VALUE!</v>
      </c>
      <c r="G1107" s="340">
        <f t="shared" si="47"/>
        <v>32</v>
      </c>
      <c r="H1107" s="340">
        <f t="shared" si="47"/>
        <v>33</v>
      </c>
      <c r="I1107" s="340">
        <f t="shared" si="47"/>
        <v>35</v>
      </c>
      <c r="J1107" s="340">
        <f t="shared" si="47"/>
        <v>0</v>
      </c>
      <c r="K1107" s="340">
        <f t="shared" si="47"/>
        <v>35</v>
      </c>
      <c r="L1107" s="340"/>
      <c r="M1107" s="340">
        <f t="shared" si="47"/>
        <v>10</v>
      </c>
      <c r="N1107" s="340">
        <f t="shared" si="47"/>
        <v>4</v>
      </c>
      <c r="O1107" s="340">
        <f t="shared" si="47"/>
        <v>7</v>
      </c>
      <c r="P1107" s="340">
        <f t="shared" si="47"/>
        <v>5</v>
      </c>
      <c r="Q1107" s="214"/>
      <c r="R1107" s="212"/>
      <c r="S1107" s="212"/>
      <c r="BA1107" s="214"/>
      <c r="BB1107" s="212"/>
      <c r="BC1107" s="212"/>
      <c r="BD1107" s="212"/>
      <c r="BE1107" s="212"/>
    </row>
    <row r="1108" spans="1:57" s="213" customFormat="1" ht="17.25" customHeight="1">
      <c r="A1108" s="13"/>
      <c r="B1108" s="97" t="s">
        <v>1152</v>
      </c>
      <c r="C1108" s="352" t="s">
        <v>1010</v>
      </c>
      <c r="D1108" s="341">
        <v>5</v>
      </c>
      <c r="E1108" s="341">
        <v>5</v>
      </c>
      <c r="F1108" s="40" t="s">
        <v>556</v>
      </c>
      <c r="G1108" s="40">
        <v>19</v>
      </c>
      <c r="H1108" s="40">
        <v>20</v>
      </c>
      <c r="I1108" s="40">
        <v>21</v>
      </c>
      <c r="J1108" s="40"/>
      <c r="K1108" s="40">
        <v>21</v>
      </c>
      <c r="L1108" s="40"/>
      <c r="M1108" s="341">
        <v>1</v>
      </c>
      <c r="N1108" s="341">
        <v>1</v>
      </c>
      <c r="O1108" s="341">
        <v>1</v>
      </c>
      <c r="P1108" s="341">
        <v>1</v>
      </c>
      <c r="Q1108" s="214"/>
      <c r="R1108" s="212"/>
      <c r="S1108" s="212"/>
      <c r="BA1108" s="214"/>
      <c r="BB1108" s="212"/>
      <c r="BC1108" s="212"/>
      <c r="BD1108" s="212"/>
      <c r="BE1108" s="212"/>
    </row>
    <row r="1109" spans="1:19" s="213" customFormat="1" ht="17.25" customHeight="1">
      <c r="A1109" s="13"/>
      <c r="B1109" s="97" t="s">
        <v>1153</v>
      </c>
      <c r="C1109" s="352" t="s">
        <v>1081</v>
      </c>
      <c r="D1109" s="341">
        <v>3</v>
      </c>
      <c r="E1109" s="341">
        <v>3</v>
      </c>
      <c r="F1109" s="40" t="s">
        <v>556</v>
      </c>
      <c r="G1109" s="40">
        <v>4</v>
      </c>
      <c r="H1109" s="40">
        <v>4</v>
      </c>
      <c r="I1109" s="40">
        <v>5</v>
      </c>
      <c r="J1109" s="40"/>
      <c r="K1109" s="40">
        <v>5</v>
      </c>
      <c r="L1109" s="40"/>
      <c r="M1109" s="341">
        <v>1</v>
      </c>
      <c r="N1109" s="341"/>
      <c r="O1109" s="341"/>
      <c r="P1109" s="341">
        <v>1</v>
      </c>
      <c r="Q1109" s="214"/>
      <c r="R1109" s="214"/>
      <c r="S1109" s="214"/>
    </row>
    <row r="1110" spans="1:19" s="213" customFormat="1" ht="33" customHeight="1">
      <c r="A1110" s="13"/>
      <c r="B1110" s="97" t="s">
        <v>1154</v>
      </c>
      <c r="C1110" s="352" t="s">
        <v>714</v>
      </c>
      <c r="D1110" s="341">
        <v>4</v>
      </c>
      <c r="E1110" s="341">
        <v>4</v>
      </c>
      <c r="F1110" s="40"/>
      <c r="G1110" s="40"/>
      <c r="H1110" s="40"/>
      <c r="I1110" s="40"/>
      <c r="J1110" s="40"/>
      <c r="K1110" s="40"/>
      <c r="L1110" s="40"/>
      <c r="M1110" s="341">
        <v>1</v>
      </c>
      <c r="N1110" s="341"/>
      <c r="O1110" s="341">
        <v>1</v>
      </c>
      <c r="P1110" s="341"/>
      <c r="Q1110" s="214"/>
      <c r="R1110" s="214"/>
      <c r="S1110" s="214"/>
    </row>
    <row r="1111" spans="1:19" s="213" customFormat="1" ht="17.25" customHeight="1">
      <c r="A1111" s="13"/>
      <c r="B1111" s="97" t="s">
        <v>1155</v>
      </c>
      <c r="C1111" s="352" t="s">
        <v>1149</v>
      </c>
      <c r="D1111" s="341">
        <v>5</v>
      </c>
      <c r="E1111" s="341">
        <v>5</v>
      </c>
      <c r="F1111" s="40"/>
      <c r="G1111" s="40"/>
      <c r="H1111" s="40"/>
      <c r="I1111" s="40"/>
      <c r="J1111" s="40"/>
      <c r="K1111" s="40"/>
      <c r="L1111" s="40"/>
      <c r="M1111" s="341">
        <v>1</v>
      </c>
      <c r="N1111" s="341">
        <v>1</v>
      </c>
      <c r="O1111" s="341">
        <v>1</v>
      </c>
      <c r="P1111" s="341">
        <v>1</v>
      </c>
      <c r="Q1111" s="214"/>
      <c r="R1111" s="214"/>
      <c r="S1111" s="214"/>
    </row>
    <row r="1112" spans="1:19" s="213" customFormat="1" ht="30.75" customHeight="1">
      <c r="A1112" s="13"/>
      <c r="B1112" s="97" t="s">
        <v>1156</v>
      </c>
      <c r="C1112" s="352" t="s">
        <v>718</v>
      </c>
      <c r="D1112" s="341">
        <v>14</v>
      </c>
      <c r="E1112" s="341">
        <v>7</v>
      </c>
      <c r="F1112" s="40"/>
      <c r="G1112" s="40"/>
      <c r="H1112" s="40"/>
      <c r="I1112" s="40"/>
      <c r="J1112" s="40"/>
      <c r="K1112" s="40"/>
      <c r="L1112" s="40"/>
      <c r="M1112" s="341">
        <v>1</v>
      </c>
      <c r="N1112" s="341"/>
      <c r="O1112" s="341">
        <v>2</v>
      </c>
      <c r="P1112" s="341">
        <v>1</v>
      </c>
      <c r="Q1112" s="214"/>
      <c r="R1112" s="214"/>
      <c r="S1112" s="214"/>
    </row>
    <row r="1113" spans="1:19" s="213" customFormat="1" ht="31.5" customHeight="1">
      <c r="A1113" s="13"/>
      <c r="B1113" s="97" t="s">
        <v>1157</v>
      </c>
      <c r="C1113" s="352" t="s">
        <v>716</v>
      </c>
      <c r="D1113" s="341">
        <v>7</v>
      </c>
      <c r="E1113" s="341">
        <v>4</v>
      </c>
      <c r="F1113" s="40"/>
      <c r="G1113" s="40"/>
      <c r="H1113" s="40"/>
      <c r="I1113" s="40"/>
      <c r="J1113" s="40"/>
      <c r="K1113" s="40"/>
      <c r="L1113" s="40"/>
      <c r="M1113" s="341">
        <v>2</v>
      </c>
      <c r="N1113" s="341">
        <v>1</v>
      </c>
      <c r="O1113" s="341"/>
      <c r="P1113" s="341"/>
      <c r="Q1113" s="214"/>
      <c r="R1113" s="214"/>
      <c r="S1113" s="214"/>
    </row>
    <row r="1114" spans="1:19" s="213" customFormat="1" ht="17.25" customHeight="1">
      <c r="A1114" s="13"/>
      <c r="B1114" s="97" t="s">
        <v>813</v>
      </c>
      <c r="C1114" s="352" t="s">
        <v>1150</v>
      </c>
      <c r="D1114" s="341">
        <v>3</v>
      </c>
      <c r="E1114" s="341">
        <v>3</v>
      </c>
      <c r="F1114" s="40"/>
      <c r="G1114" s="40"/>
      <c r="H1114" s="40"/>
      <c r="I1114" s="40"/>
      <c r="J1114" s="40"/>
      <c r="K1114" s="40"/>
      <c r="L1114" s="40"/>
      <c r="M1114" s="341">
        <v>1</v>
      </c>
      <c r="N1114" s="341">
        <v>1</v>
      </c>
      <c r="O1114" s="341"/>
      <c r="P1114" s="341">
        <v>1</v>
      </c>
      <c r="Q1114" s="214"/>
      <c r="R1114" s="214"/>
      <c r="S1114" s="214"/>
    </row>
    <row r="1115" spans="1:19" s="213" customFormat="1" ht="17.25" customHeight="1">
      <c r="A1115" s="13"/>
      <c r="B1115" s="97" t="s">
        <v>1158</v>
      </c>
      <c r="C1115" s="352" t="s">
        <v>721</v>
      </c>
      <c r="D1115" s="341">
        <v>4</v>
      </c>
      <c r="E1115" s="341">
        <v>3</v>
      </c>
      <c r="F1115" s="40"/>
      <c r="G1115" s="40"/>
      <c r="H1115" s="40"/>
      <c r="I1115" s="40"/>
      <c r="J1115" s="40"/>
      <c r="K1115" s="40"/>
      <c r="L1115" s="40"/>
      <c r="M1115" s="341">
        <v>1</v>
      </c>
      <c r="N1115" s="341"/>
      <c r="O1115" s="341">
        <v>1</v>
      </c>
      <c r="P1115" s="341"/>
      <c r="Q1115" s="214"/>
      <c r="R1115" s="214"/>
      <c r="S1115" s="214"/>
    </row>
    <row r="1116" spans="1:19" s="213" customFormat="1" ht="17.25" customHeight="1">
      <c r="A1116" s="13"/>
      <c r="B1116" s="97" t="s">
        <v>1159</v>
      </c>
      <c r="C1116" s="352" t="s">
        <v>1151</v>
      </c>
      <c r="D1116" s="341">
        <v>3</v>
      </c>
      <c r="E1116" s="341">
        <v>3</v>
      </c>
      <c r="F1116" s="40" t="s">
        <v>556</v>
      </c>
      <c r="G1116" s="40">
        <v>9</v>
      </c>
      <c r="H1116" s="40">
        <v>9</v>
      </c>
      <c r="I1116" s="40">
        <v>9</v>
      </c>
      <c r="J1116" s="40"/>
      <c r="K1116" s="40">
        <v>9</v>
      </c>
      <c r="L1116" s="40"/>
      <c r="M1116" s="341">
        <v>1</v>
      </c>
      <c r="N1116" s="341"/>
      <c r="O1116" s="341">
        <v>1</v>
      </c>
      <c r="P1116" s="341"/>
      <c r="Q1116" s="214"/>
      <c r="R1116" s="214"/>
      <c r="S1116" s="214"/>
    </row>
    <row r="1117" spans="1:19" ht="15.75" customHeight="1">
      <c r="A1117" s="400" t="s">
        <v>909</v>
      </c>
      <c r="B1117" s="400"/>
      <c r="C1117" s="400"/>
      <c r="D1117" s="400"/>
      <c r="E1117" s="400"/>
      <c r="F1117" s="400"/>
      <c r="G1117" s="400"/>
      <c r="H1117" s="400"/>
      <c r="I1117" s="400"/>
      <c r="J1117" s="400"/>
      <c r="K1117" s="400"/>
      <c r="L1117" s="400"/>
      <c r="M1117" s="400"/>
      <c r="N1117" s="400"/>
      <c r="O1117" s="400"/>
      <c r="P1117" s="400"/>
      <c r="Q1117" s="21"/>
      <c r="R1117" s="21"/>
      <c r="S1117" s="8"/>
    </row>
    <row r="1118" spans="1:188" s="272" customFormat="1" ht="15.75" customHeight="1">
      <c r="A1118" s="320"/>
      <c r="B1118" s="343" t="s">
        <v>857</v>
      </c>
      <c r="C1118" s="320"/>
      <c r="D1118" s="383">
        <f>D1119+D1130+D1140</f>
        <v>27</v>
      </c>
      <c r="E1118" s="383">
        <f aca="true" t="shared" si="48" ref="E1118:P1118">E1119+E1130+E1140</f>
        <v>1</v>
      </c>
      <c r="F1118" s="383">
        <f t="shared" si="48"/>
        <v>0</v>
      </c>
      <c r="G1118" s="383">
        <f t="shared" si="48"/>
        <v>0</v>
      </c>
      <c r="H1118" s="383">
        <f t="shared" si="48"/>
        <v>0</v>
      </c>
      <c r="I1118" s="383">
        <f t="shared" si="48"/>
        <v>0</v>
      </c>
      <c r="J1118" s="383">
        <f t="shared" si="48"/>
        <v>0</v>
      </c>
      <c r="K1118" s="383">
        <f t="shared" si="48"/>
        <v>0</v>
      </c>
      <c r="L1118" s="383"/>
      <c r="M1118" s="383">
        <f t="shared" si="48"/>
        <v>45</v>
      </c>
      <c r="N1118" s="383">
        <f t="shared" si="48"/>
        <v>28</v>
      </c>
      <c r="O1118" s="383">
        <f t="shared" si="48"/>
        <v>31</v>
      </c>
      <c r="P1118" s="383">
        <f t="shared" si="48"/>
        <v>28</v>
      </c>
      <c r="Q1118" s="270"/>
      <c r="R1118" s="270"/>
      <c r="S1118" s="271"/>
      <c r="T1118" s="203"/>
      <c r="U1118" s="203"/>
      <c r="V1118" s="203"/>
      <c r="W1118" s="203"/>
      <c r="X1118" s="203"/>
      <c r="Y1118" s="203"/>
      <c r="Z1118" s="203"/>
      <c r="AA1118" s="203"/>
      <c r="AB1118" s="203"/>
      <c r="AC1118" s="203"/>
      <c r="AD1118" s="203"/>
      <c r="AE1118" s="203"/>
      <c r="AF1118" s="203"/>
      <c r="AG1118" s="203"/>
      <c r="AH1118" s="203"/>
      <c r="AI1118" s="203"/>
      <c r="AJ1118" s="203"/>
      <c r="AK1118" s="203"/>
      <c r="AL1118" s="203"/>
      <c r="AM1118" s="203"/>
      <c r="AN1118" s="203"/>
      <c r="AO1118" s="203"/>
      <c r="AP1118" s="203"/>
      <c r="AQ1118" s="203"/>
      <c r="AR1118" s="203"/>
      <c r="AS1118" s="203"/>
      <c r="AT1118" s="203"/>
      <c r="AU1118" s="203"/>
      <c r="AV1118" s="203"/>
      <c r="AW1118" s="203"/>
      <c r="AX1118" s="203"/>
      <c r="AY1118" s="203"/>
      <c r="AZ1118" s="203"/>
      <c r="BA1118" s="203"/>
      <c r="BB1118" s="203"/>
      <c r="BC1118" s="203"/>
      <c r="BD1118" s="203"/>
      <c r="BE1118" s="203"/>
      <c r="BF1118" s="203"/>
      <c r="BG1118" s="203"/>
      <c r="BH1118" s="203"/>
      <c r="BI1118" s="203"/>
      <c r="BJ1118" s="203"/>
      <c r="BK1118" s="203"/>
      <c r="BL1118" s="203"/>
      <c r="BM1118" s="203"/>
      <c r="BN1118" s="203"/>
      <c r="BO1118" s="203"/>
      <c r="BP1118" s="203"/>
      <c r="BQ1118" s="203"/>
      <c r="BR1118" s="203"/>
      <c r="BS1118" s="203"/>
      <c r="BT1118" s="203"/>
      <c r="BU1118" s="203"/>
      <c r="BV1118" s="203"/>
      <c r="BW1118" s="203"/>
      <c r="BX1118" s="203"/>
      <c r="BY1118" s="203"/>
      <c r="BZ1118" s="203"/>
      <c r="CA1118" s="203"/>
      <c r="CB1118" s="203"/>
      <c r="CC1118" s="203"/>
      <c r="CD1118" s="203"/>
      <c r="CE1118" s="203"/>
      <c r="CF1118" s="203"/>
      <c r="CG1118" s="203"/>
      <c r="CH1118" s="203"/>
      <c r="CI1118" s="203"/>
      <c r="CJ1118" s="203"/>
      <c r="CK1118" s="203"/>
      <c r="CL1118" s="203"/>
      <c r="CM1118" s="203"/>
      <c r="CN1118" s="203"/>
      <c r="CO1118" s="203"/>
      <c r="CP1118" s="203"/>
      <c r="CQ1118" s="203"/>
      <c r="CR1118" s="203"/>
      <c r="CS1118" s="203"/>
      <c r="CT1118" s="203"/>
      <c r="CU1118" s="203"/>
      <c r="CV1118" s="203"/>
      <c r="CW1118" s="203"/>
      <c r="CX1118" s="203"/>
      <c r="CY1118" s="203"/>
      <c r="CZ1118" s="203"/>
      <c r="DA1118" s="203"/>
      <c r="DB1118" s="203"/>
      <c r="DC1118" s="203"/>
      <c r="DD1118" s="203"/>
      <c r="DE1118" s="203"/>
      <c r="DF1118" s="203"/>
      <c r="DG1118" s="203"/>
      <c r="DH1118" s="203"/>
      <c r="DI1118" s="203"/>
      <c r="DJ1118" s="203"/>
      <c r="DK1118" s="203"/>
      <c r="DL1118" s="203"/>
      <c r="DM1118" s="203"/>
      <c r="DN1118" s="203"/>
      <c r="DO1118" s="203"/>
      <c r="DP1118" s="203"/>
      <c r="DQ1118" s="203"/>
      <c r="DR1118" s="203"/>
      <c r="DS1118" s="203"/>
      <c r="DT1118" s="203"/>
      <c r="DU1118" s="203"/>
      <c r="DV1118" s="203"/>
      <c r="DW1118" s="203"/>
      <c r="DX1118" s="203"/>
      <c r="DY1118" s="203"/>
      <c r="DZ1118" s="203"/>
      <c r="EA1118" s="203"/>
      <c r="EB1118" s="203"/>
      <c r="EC1118" s="203"/>
      <c r="ED1118" s="203"/>
      <c r="EE1118" s="203"/>
      <c r="EF1118" s="203"/>
      <c r="EG1118" s="203"/>
      <c r="EH1118" s="203"/>
      <c r="EI1118" s="203"/>
      <c r="EJ1118" s="203"/>
      <c r="EK1118" s="203"/>
      <c r="EL1118" s="203"/>
      <c r="EM1118" s="203"/>
      <c r="EN1118" s="203"/>
      <c r="EO1118" s="203"/>
      <c r="EP1118" s="203"/>
      <c r="EQ1118" s="203"/>
      <c r="ER1118" s="203"/>
      <c r="ES1118" s="203"/>
      <c r="ET1118" s="203"/>
      <c r="EU1118" s="203"/>
      <c r="EV1118" s="203"/>
      <c r="EW1118" s="203"/>
      <c r="EX1118" s="203"/>
      <c r="EY1118" s="203"/>
      <c r="EZ1118" s="203"/>
      <c r="FA1118" s="203"/>
      <c r="FB1118" s="203"/>
      <c r="FC1118" s="203"/>
      <c r="FD1118" s="203"/>
      <c r="FE1118" s="203"/>
      <c r="FF1118" s="203"/>
      <c r="FG1118" s="203"/>
      <c r="FH1118" s="203"/>
      <c r="FI1118" s="203"/>
      <c r="FJ1118" s="203"/>
      <c r="FK1118" s="203"/>
      <c r="FL1118" s="203"/>
      <c r="FM1118" s="203"/>
      <c r="FN1118" s="203"/>
      <c r="FO1118" s="203"/>
      <c r="FP1118" s="203"/>
      <c r="FQ1118" s="203"/>
      <c r="FR1118" s="203"/>
      <c r="FS1118" s="203"/>
      <c r="FT1118" s="203"/>
      <c r="FU1118" s="203"/>
      <c r="FV1118" s="203"/>
      <c r="FW1118" s="203"/>
      <c r="FX1118" s="203"/>
      <c r="FY1118" s="203"/>
      <c r="FZ1118" s="203"/>
      <c r="GA1118" s="203"/>
      <c r="GB1118" s="203"/>
      <c r="GC1118" s="203"/>
      <c r="GD1118" s="203"/>
      <c r="GE1118" s="203"/>
      <c r="GF1118" s="203"/>
    </row>
    <row r="1119" spans="1:57" s="213" customFormat="1" ht="15.75">
      <c r="A1119" s="13"/>
      <c r="B1119" s="346" t="s">
        <v>669</v>
      </c>
      <c r="C1119" s="46"/>
      <c r="D1119" s="348">
        <f>D1120+D1121+D1122+D1123+D1124+D1125+D1126+D1127+D1128+D1129</f>
        <v>12</v>
      </c>
      <c r="E1119" s="348"/>
      <c r="F1119" s="348"/>
      <c r="G1119" s="348"/>
      <c r="H1119" s="348"/>
      <c r="I1119" s="348"/>
      <c r="J1119" s="348"/>
      <c r="K1119" s="348"/>
      <c r="L1119" s="348"/>
      <c r="M1119" s="348">
        <f>M1120+M1121+M1122+M1123+M1124+M1125+M1126+M1127+M1128+M1129</f>
        <v>25</v>
      </c>
      <c r="N1119" s="348">
        <f>N1120+N1121+N1122+N1123+N1124+N1125+N1126+N1127+N1128+N1129</f>
        <v>19</v>
      </c>
      <c r="O1119" s="348">
        <f>O1120+O1121+O1122+O1123+O1124+O1125+O1126+O1127+O1128+O1129</f>
        <v>27</v>
      </c>
      <c r="P1119" s="348">
        <f>P1120+P1121+P1122+P1123+P1124+P1125+P1126+P1127+P1128+P1129</f>
        <v>17</v>
      </c>
      <c r="Q1119" s="214"/>
      <c r="R1119" s="212"/>
      <c r="S1119" s="212"/>
      <c r="BA1119" s="214"/>
      <c r="BB1119" s="212"/>
      <c r="BC1119" s="212"/>
      <c r="BD1119" s="212"/>
      <c r="BE1119" s="212"/>
    </row>
    <row r="1120" spans="1:188" s="272" customFormat="1" ht="15.75" customHeight="1">
      <c r="A1120" s="384"/>
      <c r="B1120" s="97" t="s">
        <v>1160</v>
      </c>
      <c r="C1120" s="353" t="s">
        <v>563</v>
      </c>
      <c r="D1120" s="341">
        <v>1</v>
      </c>
      <c r="E1120" s="341"/>
      <c r="F1120" s="385"/>
      <c r="G1120" s="320"/>
      <c r="H1120" s="320"/>
      <c r="I1120" s="320"/>
      <c r="J1120" s="320"/>
      <c r="K1120" s="320"/>
      <c r="L1120" s="384"/>
      <c r="M1120" s="341">
        <v>4</v>
      </c>
      <c r="N1120" s="341">
        <v>2</v>
      </c>
      <c r="O1120" s="341">
        <v>4</v>
      </c>
      <c r="P1120" s="341">
        <v>2</v>
      </c>
      <c r="Q1120" s="270"/>
      <c r="R1120" s="270"/>
      <c r="S1120" s="271"/>
      <c r="T1120" s="203"/>
      <c r="U1120" s="203"/>
      <c r="V1120" s="203"/>
      <c r="W1120" s="203"/>
      <c r="X1120" s="203"/>
      <c r="Y1120" s="203"/>
      <c r="Z1120" s="203"/>
      <c r="AA1120" s="203"/>
      <c r="AB1120" s="203"/>
      <c r="AC1120" s="203"/>
      <c r="AD1120" s="203"/>
      <c r="AE1120" s="203"/>
      <c r="AF1120" s="203"/>
      <c r="AG1120" s="203"/>
      <c r="AH1120" s="203"/>
      <c r="AI1120" s="203"/>
      <c r="AJ1120" s="203"/>
      <c r="AK1120" s="203"/>
      <c r="AL1120" s="203"/>
      <c r="AM1120" s="203"/>
      <c r="AN1120" s="203"/>
      <c r="AO1120" s="203"/>
      <c r="AP1120" s="203"/>
      <c r="AQ1120" s="203"/>
      <c r="AR1120" s="203"/>
      <c r="AS1120" s="203"/>
      <c r="AT1120" s="203"/>
      <c r="AU1120" s="203"/>
      <c r="AV1120" s="203"/>
      <c r="AW1120" s="203"/>
      <c r="AX1120" s="203"/>
      <c r="AY1120" s="203"/>
      <c r="AZ1120" s="203"/>
      <c r="BA1120" s="203"/>
      <c r="BB1120" s="203"/>
      <c r="BC1120" s="203"/>
      <c r="BD1120" s="203"/>
      <c r="BE1120" s="203"/>
      <c r="BF1120" s="203"/>
      <c r="BG1120" s="203"/>
      <c r="BH1120" s="203"/>
      <c r="BI1120" s="203"/>
      <c r="BJ1120" s="203"/>
      <c r="BK1120" s="203"/>
      <c r="BL1120" s="203"/>
      <c r="BM1120" s="203"/>
      <c r="BN1120" s="203"/>
      <c r="BO1120" s="203"/>
      <c r="BP1120" s="203"/>
      <c r="BQ1120" s="203"/>
      <c r="BR1120" s="203"/>
      <c r="BS1120" s="203"/>
      <c r="BT1120" s="203"/>
      <c r="BU1120" s="203"/>
      <c r="BV1120" s="203"/>
      <c r="BW1120" s="203"/>
      <c r="BX1120" s="203"/>
      <c r="BY1120" s="203"/>
      <c r="BZ1120" s="203"/>
      <c r="CA1120" s="203"/>
      <c r="CB1120" s="203"/>
      <c r="CC1120" s="203"/>
      <c r="CD1120" s="203"/>
      <c r="CE1120" s="203"/>
      <c r="CF1120" s="203"/>
      <c r="CG1120" s="203"/>
      <c r="CH1120" s="203"/>
      <c r="CI1120" s="203"/>
      <c r="CJ1120" s="203"/>
      <c r="CK1120" s="203"/>
      <c r="CL1120" s="203"/>
      <c r="CM1120" s="203"/>
      <c r="CN1120" s="203"/>
      <c r="CO1120" s="203"/>
      <c r="CP1120" s="203"/>
      <c r="CQ1120" s="203"/>
      <c r="CR1120" s="203"/>
      <c r="CS1120" s="203"/>
      <c r="CT1120" s="203"/>
      <c r="CU1120" s="203"/>
      <c r="CV1120" s="203"/>
      <c r="CW1120" s="203"/>
      <c r="CX1120" s="203"/>
      <c r="CY1120" s="203"/>
      <c r="CZ1120" s="203"/>
      <c r="DA1120" s="203"/>
      <c r="DB1120" s="203"/>
      <c r="DC1120" s="203"/>
      <c r="DD1120" s="203"/>
      <c r="DE1120" s="203"/>
      <c r="DF1120" s="203"/>
      <c r="DG1120" s="203"/>
      <c r="DH1120" s="203"/>
      <c r="DI1120" s="203"/>
      <c r="DJ1120" s="203"/>
      <c r="DK1120" s="203"/>
      <c r="DL1120" s="203"/>
      <c r="DM1120" s="203"/>
      <c r="DN1120" s="203"/>
      <c r="DO1120" s="203"/>
      <c r="DP1120" s="203"/>
      <c r="DQ1120" s="203"/>
      <c r="DR1120" s="203"/>
      <c r="DS1120" s="203"/>
      <c r="DT1120" s="203"/>
      <c r="DU1120" s="203"/>
      <c r="DV1120" s="203"/>
      <c r="DW1120" s="203"/>
      <c r="DX1120" s="203"/>
      <c r="DY1120" s="203"/>
      <c r="DZ1120" s="203"/>
      <c r="EA1120" s="203"/>
      <c r="EB1120" s="203"/>
      <c r="EC1120" s="203"/>
      <c r="ED1120" s="203"/>
      <c r="EE1120" s="203"/>
      <c r="EF1120" s="203"/>
      <c r="EG1120" s="203"/>
      <c r="EH1120" s="203"/>
      <c r="EI1120" s="203"/>
      <c r="EJ1120" s="203"/>
      <c r="EK1120" s="203"/>
      <c r="EL1120" s="203"/>
      <c r="EM1120" s="203"/>
      <c r="EN1120" s="203"/>
      <c r="EO1120" s="203"/>
      <c r="EP1120" s="203"/>
      <c r="EQ1120" s="203"/>
      <c r="ER1120" s="203"/>
      <c r="ES1120" s="203"/>
      <c r="ET1120" s="203"/>
      <c r="EU1120" s="203"/>
      <c r="EV1120" s="203"/>
      <c r="EW1120" s="203"/>
      <c r="EX1120" s="203"/>
      <c r="EY1120" s="203"/>
      <c r="EZ1120" s="203"/>
      <c r="FA1120" s="203"/>
      <c r="FB1120" s="203"/>
      <c r="FC1120" s="203"/>
      <c r="FD1120" s="203"/>
      <c r="FE1120" s="203"/>
      <c r="FF1120" s="203"/>
      <c r="FG1120" s="203"/>
      <c r="FH1120" s="203"/>
      <c r="FI1120" s="203"/>
      <c r="FJ1120" s="203"/>
      <c r="FK1120" s="203"/>
      <c r="FL1120" s="203"/>
      <c r="FM1120" s="203"/>
      <c r="FN1120" s="203"/>
      <c r="FO1120" s="203"/>
      <c r="FP1120" s="203"/>
      <c r="FQ1120" s="203"/>
      <c r="FR1120" s="203"/>
      <c r="FS1120" s="203"/>
      <c r="FT1120" s="203"/>
      <c r="FU1120" s="203"/>
      <c r="FV1120" s="203"/>
      <c r="FW1120" s="203"/>
      <c r="FX1120" s="203"/>
      <c r="FY1120" s="203"/>
      <c r="FZ1120" s="203"/>
      <c r="GA1120" s="203"/>
      <c r="GB1120" s="203"/>
      <c r="GC1120" s="203"/>
      <c r="GD1120" s="203"/>
      <c r="GE1120" s="203"/>
      <c r="GF1120" s="203"/>
    </row>
    <row r="1121" spans="1:188" s="272" customFormat="1" ht="15.75" customHeight="1">
      <c r="A1121" s="384"/>
      <c r="B1121" s="97" t="s">
        <v>1161</v>
      </c>
      <c r="C1121" s="353">
        <v>24010233</v>
      </c>
      <c r="D1121" s="341">
        <v>4</v>
      </c>
      <c r="E1121" s="341"/>
      <c r="F1121" s="385"/>
      <c r="G1121" s="320"/>
      <c r="H1121" s="320"/>
      <c r="I1121" s="320"/>
      <c r="J1121" s="320"/>
      <c r="K1121" s="320"/>
      <c r="L1121" s="384"/>
      <c r="M1121" s="341">
        <v>4</v>
      </c>
      <c r="N1121" s="341">
        <v>2</v>
      </c>
      <c r="O1121" s="341">
        <v>4</v>
      </c>
      <c r="P1121" s="341">
        <v>2</v>
      </c>
      <c r="Q1121" s="270"/>
      <c r="R1121" s="270"/>
      <c r="S1121" s="271"/>
      <c r="T1121" s="203"/>
      <c r="U1121" s="203"/>
      <c r="V1121" s="203"/>
      <c r="W1121" s="203"/>
      <c r="X1121" s="203"/>
      <c r="Y1121" s="203"/>
      <c r="Z1121" s="203"/>
      <c r="AA1121" s="203"/>
      <c r="AB1121" s="203"/>
      <c r="AC1121" s="203"/>
      <c r="AD1121" s="203"/>
      <c r="AE1121" s="203"/>
      <c r="AF1121" s="203"/>
      <c r="AG1121" s="203"/>
      <c r="AH1121" s="203"/>
      <c r="AI1121" s="203"/>
      <c r="AJ1121" s="203"/>
      <c r="AK1121" s="203"/>
      <c r="AL1121" s="203"/>
      <c r="AM1121" s="203"/>
      <c r="AN1121" s="203"/>
      <c r="AO1121" s="203"/>
      <c r="AP1121" s="203"/>
      <c r="AQ1121" s="203"/>
      <c r="AR1121" s="203"/>
      <c r="AS1121" s="203"/>
      <c r="AT1121" s="203"/>
      <c r="AU1121" s="203"/>
      <c r="AV1121" s="203"/>
      <c r="AW1121" s="203"/>
      <c r="AX1121" s="203"/>
      <c r="AY1121" s="203"/>
      <c r="AZ1121" s="203"/>
      <c r="BA1121" s="203"/>
      <c r="BB1121" s="203"/>
      <c r="BC1121" s="203"/>
      <c r="BD1121" s="203"/>
      <c r="BE1121" s="203"/>
      <c r="BF1121" s="203"/>
      <c r="BG1121" s="203"/>
      <c r="BH1121" s="203"/>
      <c r="BI1121" s="203"/>
      <c r="BJ1121" s="203"/>
      <c r="BK1121" s="203"/>
      <c r="BL1121" s="203"/>
      <c r="BM1121" s="203"/>
      <c r="BN1121" s="203"/>
      <c r="BO1121" s="203"/>
      <c r="BP1121" s="203"/>
      <c r="BQ1121" s="203"/>
      <c r="BR1121" s="203"/>
      <c r="BS1121" s="203"/>
      <c r="BT1121" s="203"/>
      <c r="BU1121" s="203"/>
      <c r="BV1121" s="203"/>
      <c r="BW1121" s="203"/>
      <c r="BX1121" s="203"/>
      <c r="BY1121" s="203"/>
      <c r="BZ1121" s="203"/>
      <c r="CA1121" s="203"/>
      <c r="CB1121" s="203"/>
      <c r="CC1121" s="203"/>
      <c r="CD1121" s="203"/>
      <c r="CE1121" s="203"/>
      <c r="CF1121" s="203"/>
      <c r="CG1121" s="203"/>
      <c r="CH1121" s="203"/>
      <c r="CI1121" s="203"/>
      <c r="CJ1121" s="203"/>
      <c r="CK1121" s="203"/>
      <c r="CL1121" s="203"/>
      <c r="CM1121" s="203"/>
      <c r="CN1121" s="203"/>
      <c r="CO1121" s="203"/>
      <c r="CP1121" s="203"/>
      <c r="CQ1121" s="203"/>
      <c r="CR1121" s="203"/>
      <c r="CS1121" s="203"/>
      <c r="CT1121" s="203"/>
      <c r="CU1121" s="203"/>
      <c r="CV1121" s="203"/>
      <c r="CW1121" s="203"/>
      <c r="CX1121" s="203"/>
      <c r="CY1121" s="203"/>
      <c r="CZ1121" s="203"/>
      <c r="DA1121" s="203"/>
      <c r="DB1121" s="203"/>
      <c r="DC1121" s="203"/>
      <c r="DD1121" s="203"/>
      <c r="DE1121" s="203"/>
      <c r="DF1121" s="203"/>
      <c r="DG1121" s="203"/>
      <c r="DH1121" s="203"/>
      <c r="DI1121" s="203"/>
      <c r="DJ1121" s="203"/>
      <c r="DK1121" s="203"/>
      <c r="DL1121" s="203"/>
      <c r="DM1121" s="203"/>
      <c r="DN1121" s="203"/>
      <c r="DO1121" s="203"/>
      <c r="DP1121" s="203"/>
      <c r="DQ1121" s="203"/>
      <c r="DR1121" s="203"/>
      <c r="DS1121" s="203"/>
      <c r="DT1121" s="203"/>
      <c r="DU1121" s="203"/>
      <c r="DV1121" s="203"/>
      <c r="DW1121" s="203"/>
      <c r="DX1121" s="203"/>
      <c r="DY1121" s="203"/>
      <c r="DZ1121" s="203"/>
      <c r="EA1121" s="203"/>
      <c r="EB1121" s="203"/>
      <c r="EC1121" s="203"/>
      <c r="ED1121" s="203"/>
      <c r="EE1121" s="203"/>
      <c r="EF1121" s="203"/>
      <c r="EG1121" s="203"/>
      <c r="EH1121" s="203"/>
      <c r="EI1121" s="203"/>
      <c r="EJ1121" s="203"/>
      <c r="EK1121" s="203"/>
      <c r="EL1121" s="203"/>
      <c r="EM1121" s="203"/>
      <c r="EN1121" s="203"/>
      <c r="EO1121" s="203"/>
      <c r="EP1121" s="203"/>
      <c r="EQ1121" s="203"/>
      <c r="ER1121" s="203"/>
      <c r="ES1121" s="203"/>
      <c r="ET1121" s="203"/>
      <c r="EU1121" s="203"/>
      <c r="EV1121" s="203"/>
      <c r="EW1121" s="203"/>
      <c r="EX1121" s="203"/>
      <c r="EY1121" s="203"/>
      <c r="EZ1121" s="203"/>
      <c r="FA1121" s="203"/>
      <c r="FB1121" s="203"/>
      <c r="FC1121" s="203"/>
      <c r="FD1121" s="203"/>
      <c r="FE1121" s="203"/>
      <c r="FF1121" s="203"/>
      <c r="FG1121" s="203"/>
      <c r="FH1121" s="203"/>
      <c r="FI1121" s="203"/>
      <c r="FJ1121" s="203"/>
      <c r="FK1121" s="203"/>
      <c r="FL1121" s="203"/>
      <c r="FM1121" s="203"/>
      <c r="FN1121" s="203"/>
      <c r="FO1121" s="203"/>
      <c r="FP1121" s="203"/>
      <c r="FQ1121" s="203"/>
      <c r="FR1121" s="203"/>
      <c r="FS1121" s="203"/>
      <c r="FT1121" s="203"/>
      <c r="FU1121" s="203"/>
      <c r="FV1121" s="203"/>
      <c r="FW1121" s="203"/>
      <c r="FX1121" s="203"/>
      <c r="FY1121" s="203"/>
      <c r="FZ1121" s="203"/>
      <c r="GA1121" s="203"/>
      <c r="GB1121" s="203"/>
      <c r="GC1121" s="203"/>
      <c r="GD1121" s="203"/>
      <c r="GE1121" s="203"/>
      <c r="GF1121" s="203"/>
    </row>
    <row r="1122" spans="1:188" s="272" customFormat="1" ht="15.75" customHeight="1">
      <c r="A1122" s="384"/>
      <c r="B1122" s="97" t="s">
        <v>1162</v>
      </c>
      <c r="C1122" s="353" t="s">
        <v>563</v>
      </c>
      <c r="D1122" s="341">
        <v>1</v>
      </c>
      <c r="E1122" s="341"/>
      <c r="F1122" s="385"/>
      <c r="G1122" s="320"/>
      <c r="H1122" s="320"/>
      <c r="I1122" s="320"/>
      <c r="J1122" s="320"/>
      <c r="K1122" s="320"/>
      <c r="L1122" s="384"/>
      <c r="M1122" s="341">
        <v>2</v>
      </c>
      <c r="N1122" s="341">
        <v>1</v>
      </c>
      <c r="O1122" s="341">
        <v>2</v>
      </c>
      <c r="P1122" s="341">
        <v>1</v>
      </c>
      <c r="Q1122" s="270"/>
      <c r="R1122" s="270"/>
      <c r="S1122" s="271"/>
      <c r="T1122" s="203"/>
      <c r="U1122" s="203"/>
      <c r="V1122" s="203"/>
      <c r="W1122" s="203"/>
      <c r="X1122" s="203"/>
      <c r="Y1122" s="203"/>
      <c r="Z1122" s="203"/>
      <c r="AA1122" s="203"/>
      <c r="AB1122" s="203"/>
      <c r="AC1122" s="203"/>
      <c r="AD1122" s="203"/>
      <c r="AE1122" s="203"/>
      <c r="AF1122" s="203"/>
      <c r="AG1122" s="203"/>
      <c r="AH1122" s="203"/>
      <c r="AI1122" s="203"/>
      <c r="AJ1122" s="203"/>
      <c r="AK1122" s="203"/>
      <c r="AL1122" s="203"/>
      <c r="AM1122" s="203"/>
      <c r="AN1122" s="203"/>
      <c r="AO1122" s="203"/>
      <c r="AP1122" s="203"/>
      <c r="AQ1122" s="203"/>
      <c r="AR1122" s="203"/>
      <c r="AS1122" s="203"/>
      <c r="AT1122" s="203"/>
      <c r="AU1122" s="203"/>
      <c r="AV1122" s="203"/>
      <c r="AW1122" s="203"/>
      <c r="AX1122" s="203"/>
      <c r="AY1122" s="203"/>
      <c r="AZ1122" s="203"/>
      <c r="BA1122" s="203"/>
      <c r="BB1122" s="203"/>
      <c r="BC1122" s="203"/>
      <c r="BD1122" s="203"/>
      <c r="BE1122" s="203"/>
      <c r="BF1122" s="203"/>
      <c r="BG1122" s="203"/>
      <c r="BH1122" s="203"/>
      <c r="BI1122" s="203"/>
      <c r="BJ1122" s="203"/>
      <c r="BK1122" s="203"/>
      <c r="BL1122" s="203"/>
      <c r="BM1122" s="203"/>
      <c r="BN1122" s="203"/>
      <c r="BO1122" s="203"/>
      <c r="BP1122" s="203"/>
      <c r="BQ1122" s="203"/>
      <c r="BR1122" s="203"/>
      <c r="BS1122" s="203"/>
      <c r="BT1122" s="203"/>
      <c r="BU1122" s="203"/>
      <c r="BV1122" s="203"/>
      <c r="BW1122" s="203"/>
      <c r="BX1122" s="203"/>
      <c r="BY1122" s="203"/>
      <c r="BZ1122" s="203"/>
      <c r="CA1122" s="203"/>
      <c r="CB1122" s="203"/>
      <c r="CC1122" s="203"/>
      <c r="CD1122" s="203"/>
      <c r="CE1122" s="203"/>
      <c r="CF1122" s="203"/>
      <c r="CG1122" s="203"/>
      <c r="CH1122" s="203"/>
      <c r="CI1122" s="203"/>
      <c r="CJ1122" s="203"/>
      <c r="CK1122" s="203"/>
      <c r="CL1122" s="203"/>
      <c r="CM1122" s="203"/>
      <c r="CN1122" s="203"/>
      <c r="CO1122" s="203"/>
      <c r="CP1122" s="203"/>
      <c r="CQ1122" s="203"/>
      <c r="CR1122" s="203"/>
      <c r="CS1122" s="203"/>
      <c r="CT1122" s="203"/>
      <c r="CU1122" s="203"/>
      <c r="CV1122" s="203"/>
      <c r="CW1122" s="203"/>
      <c r="CX1122" s="203"/>
      <c r="CY1122" s="203"/>
      <c r="CZ1122" s="203"/>
      <c r="DA1122" s="203"/>
      <c r="DB1122" s="203"/>
      <c r="DC1122" s="203"/>
      <c r="DD1122" s="203"/>
      <c r="DE1122" s="203"/>
      <c r="DF1122" s="203"/>
      <c r="DG1122" s="203"/>
      <c r="DH1122" s="203"/>
      <c r="DI1122" s="203"/>
      <c r="DJ1122" s="203"/>
      <c r="DK1122" s="203"/>
      <c r="DL1122" s="203"/>
      <c r="DM1122" s="203"/>
      <c r="DN1122" s="203"/>
      <c r="DO1122" s="203"/>
      <c r="DP1122" s="203"/>
      <c r="DQ1122" s="203"/>
      <c r="DR1122" s="203"/>
      <c r="DS1122" s="203"/>
      <c r="DT1122" s="203"/>
      <c r="DU1122" s="203"/>
      <c r="DV1122" s="203"/>
      <c r="DW1122" s="203"/>
      <c r="DX1122" s="203"/>
      <c r="DY1122" s="203"/>
      <c r="DZ1122" s="203"/>
      <c r="EA1122" s="203"/>
      <c r="EB1122" s="203"/>
      <c r="EC1122" s="203"/>
      <c r="ED1122" s="203"/>
      <c r="EE1122" s="203"/>
      <c r="EF1122" s="203"/>
      <c r="EG1122" s="203"/>
      <c r="EH1122" s="203"/>
      <c r="EI1122" s="203"/>
      <c r="EJ1122" s="203"/>
      <c r="EK1122" s="203"/>
      <c r="EL1122" s="203"/>
      <c r="EM1122" s="203"/>
      <c r="EN1122" s="203"/>
      <c r="EO1122" s="203"/>
      <c r="EP1122" s="203"/>
      <c r="EQ1122" s="203"/>
      <c r="ER1122" s="203"/>
      <c r="ES1122" s="203"/>
      <c r="ET1122" s="203"/>
      <c r="EU1122" s="203"/>
      <c r="EV1122" s="203"/>
      <c r="EW1122" s="203"/>
      <c r="EX1122" s="203"/>
      <c r="EY1122" s="203"/>
      <c r="EZ1122" s="203"/>
      <c r="FA1122" s="203"/>
      <c r="FB1122" s="203"/>
      <c r="FC1122" s="203"/>
      <c r="FD1122" s="203"/>
      <c r="FE1122" s="203"/>
      <c r="FF1122" s="203"/>
      <c r="FG1122" s="203"/>
      <c r="FH1122" s="203"/>
      <c r="FI1122" s="203"/>
      <c r="FJ1122" s="203"/>
      <c r="FK1122" s="203"/>
      <c r="FL1122" s="203"/>
      <c r="FM1122" s="203"/>
      <c r="FN1122" s="203"/>
      <c r="FO1122" s="203"/>
      <c r="FP1122" s="203"/>
      <c r="FQ1122" s="203"/>
      <c r="FR1122" s="203"/>
      <c r="FS1122" s="203"/>
      <c r="FT1122" s="203"/>
      <c r="FU1122" s="203"/>
      <c r="FV1122" s="203"/>
      <c r="FW1122" s="203"/>
      <c r="FX1122" s="203"/>
      <c r="FY1122" s="203"/>
      <c r="FZ1122" s="203"/>
      <c r="GA1122" s="203"/>
      <c r="GB1122" s="203"/>
      <c r="GC1122" s="203"/>
      <c r="GD1122" s="203"/>
      <c r="GE1122" s="203"/>
      <c r="GF1122" s="203"/>
    </row>
    <row r="1123" spans="1:188" s="272" customFormat="1" ht="15.75" customHeight="1">
      <c r="A1123" s="384"/>
      <c r="B1123" s="97" t="s">
        <v>1163</v>
      </c>
      <c r="C1123" s="353" t="s">
        <v>1039</v>
      </c>
      <c r="D1123" s="341">
        <v>1</v>
      </c>
      <c r="E1123" s="341"/>
      <c r="F1123" s="385"/>
      <c r="G1123" s="320"/>
      <c r="H1123" s="320"/>
      <c r="I1123" s="320"/>
      <c r="J1123" s="320"/>
      <c r="K1123" s="320"/>
      <c r="L1123" s="384"/>
      <c r="M1123" s="341">
        <v>2</v>
      </c>
      <c r="N1123" s="341">
        <v>1</v>
      </c>
      <c r="O1123" s="341">
        <v>2</v>
      </c>
      <c r="P1123" s="341">
        <v>1</v>
      </c>
      <c r="Q1123" s="270"/>
      <c r="R1123" s="270"/>
      <c r="S1123" s="271"/>
      <c r="T1123" s="203"/>
      <c r="U1123" s="203"/>
      <c r="V1123" s="203"/>
      <c r="W1123" s="203"/>
      <c r="X1123" s="203"/>
      <c r="Y1123" s="203"/>
      <c r="Z1123" s="203"/>
      <c r="AA1123" s="203"/>
      <c r="AB1123" s="203"/>
      <c r="AC1123" s="203"/>
      <c r="AD1123" s="203"/>
      <c r="AE1123" s="203"/>
      <c r="AF1123" s="203"/>
      <c r="AG1123" s="203"/>
      <c r="AH1123" s="203"/>
      <c r="AI1123" s="203"/>
      <c r="AJ1123" s="203"/>
      <c r="AK1123" s="203"/>
      <c r="AL1123" s="203"/>
      <c r="AM1123" s="203"/>
      <c r="AN1123" s="203"/>
      <c r="AO1123" s="203"/>
      <c r="AP1123" s="203"/>
      <c r="AQ1123" s="203"/>
      <c r="AR1123" s="203"/>
      <c r="AS1123" s="203"/>
      <c r="AT1123" s="203"/>
      <c r="AU1123" s="203"/>
      <c r="AV1123" s="203"/>
      <c r="AW1123" s="203"/>
      <c r="AX1123" s="203"/>
      <c r="AY1123" s="203"/>
      <c r="AZ1123" s="203"/>
      <c r="BA1123" s="203"/>
      <c r="BB1123" s="203"/>
      <c r="BC1123" s="203"/>
      <c r="BD1123" s="203"/>
      <c r="BE1123" s="203"/>
      <c r="BF1123" s="203"/>
      <c r="BG1123" s="203"/>
      <c r="BH1123" s="203"/>
      <c r="BI1123" s="203"/>
      <c r="BJ1123" s="203"/>
      <c r="BK1123" s="203"/>
      <c r="BL1123" s="203"/>
      <c r="BM1123" s="203"/>
      <c r="BN1123" s="203"/>
      <c r="BO1123" s="203"/>
      <c r="BP1123" s="203"/>
      <c r="BQ1123" s="203"/>
      <c r="BR1123" s="203"/>
      <c r="BS1123" s="203"/>
      <c r="BT1123" s="203"/>
      <c r="BU1123" s="203"/>
      <c r="BV1123" s="203"/>
      <c r="BW1123" s="203"/>
      <c r="BX1123" s="203"/>
      <c r="BY1123" s="203"/>
      <c r="BZ1123" s="203"/>
      <c r="CA1123" s="203"/>
      <c r="CB1123" s="203"/>
      <c r="CC1123" s="203"/>
      <c r="CD1123" s="203"/>
      <c r="CE1123" s="203"/>
      <c r="CF1123" s="203"/>
      <c r="CG1123" s="203"/>
      <c r="CH1123" s="203"/>
      <c r="CI1123" s="203"/>
      <c r="CJ1123" s="203"/>
      <c r="CK1123" s="203"/>
      <c r="CL1123" s="203"/>
      <c r="CM1123" s="203"/>
      <c r="CN1123" s="203"/>
      <c r="CO1123" s="203"/>
      <c r="CP1123" s="203"/>
      <c r="CQ1123" s="203"/>
      <c r="CR1123" s="203"/>
      <c r="CS1123" s="203"/>
      <c r="CT1123" s="203"/>
      <c r="CU1123" s="203"/>
      <c r="CV1123" s="203"/>
      <c r="CW1123" s="203"/>
      <c r="CX1123" s="203"/>
      <c r="CY1123" s="203"/>
      <c r="CZ1123" s="203"/>
      <c r="DA1123" s="203"/>
      <c r="DB1123" s="203"/>
      <c r="DC1123" s="203"/>
      <c r="DD1123" s="203"/>
      <c r="DE1123" s="203"/>
      <c r="DF1123" s="203"/>
      <c r="DG1123" s="203"/>
      <c r="DH1123" s="203"/>
      <c r="DI1123" s="203"/>
      <c r="DJ1123" s="203"/>
      <c r="DK1123" s="203"/>
      <c r="DL1123" s="203"/>
      <c r="DM1123" s="203"/>
      <c r="DN1123" s="203"/>
      <c r="DO1123" s="203"/>
      <c r="DP1123" s="203"/>
      <c r="DQ1123" s="203"/>
      <c r="DR1123" s="203"/>
      <c r="DS1123" s="203"/>
      <c r="DT1123" s="203"/>
      <c r="DU1123" s="203"/>
      <c r="DV1123" s="203"/>
      <c r="DW1123" s="203"/>
      <c r="DX1123" s="203"/>
      <c r="DY1123" s="203"/>
      <c r="DZ1123" s="203"/>
      <c r="EA1123" s="203"/>
      <c r="EB1123" s="203"/>
      <c r="EC1123" s="203"/>
      <c r="ED1123" s="203"/>
      <c r="EE1123" s="203"/>
      <c r="EF1123" s="203"/>
      <c r="EG1123" s="203"/>
      <c r="EH1123" s="203"/>
      <c r="EI1123" s="203"/>
      <c r="EJ1123" s="203"/>
      <c r="EK1123" s="203"/>
      <c r="EL1123" s="203"/>
      <c r="EM1123" s="203"/>
      <c r="EN1123" s="203"/>
      <c r="EO1123" s="203"/>
      <c r="EP1123" s="203"/>
      <c r="EQ1123" s="203"/>
      <c r="ER1123" s="203"/>
      <c r="ES1123" s="203"/>
      <c r="ET1123" s="203"/>
      <c r="EU1123" s="203"/>
      <c r="EV1123" s="203"/>
      <c r="EW1123" s="203"/>
      <c r="EX1123" s="203"/>
      <c r="EY1123" s="203"/>
      <c r="EZ1123" s="203"/>
      <c r="FA1123" s="203"/>
      <c r="FB1123" s="203"/>
      <c r="FC1123" s="203"/>
      <c r="FD1123" s="203"/>
      <c r="FE1123" s="203"/>
      <c r="FF1123" s="203"/>
      <c r="FG1123" s="203"/>
      <c r="FH1123" s="203"/>
      <c r="FI1123" s="203"/>
      <c r="FJ1123" s="203"/>
      <c r="FK1123" s="203"/>
      <c r="FL1123" s="203"/>
      <c r="FM1123" s="203"/>
      <c r="FN1123" s="203"/>
      <c r="FO1123" s="203"/>
      <c r="FP1123" s="203"/>
      <c r="FQ1123" s="203"/>
      <c r="FR1123" s="203"/>
      <c r="FS1123" s="203"/>
      <c r="FT1123" s="203"/>
      <c r="FU1123" s="203"/>
      <c r="FV1123" s="203"/>
      <c r="FW1123" s="203"/>
      <c r="FX1123" s="203"/>
      <c r="FY1123" s="203"/>
      <c r="FZ1123" s="203"/>
      <c r="GA1123" s="203"/>
      <c r="GB1123" s="203"/>
      <c r="GC1123" s="203"/>
      <c r="GD1123" s="203"/>
      <c r="GE1123" s="203"/>
      <c r="GF1123" s="203"/>
    </row>
    <row r="1124" spans="1:188" s="272" customFormat="1" ht="15.75" customHeight="1">
      <c r="A1124" s="384"/>
      <c r="B1124" s="97" t="s">
        <v>1164</v>
      </c>
      <c r="C1124" s="353" t="s">
        <v>563</v>
      </c>
      <c r="D1124" s="341">
        <v>1</v>
      </c>
      <c r="E1124" s="341"/>
      <c r="F1124" s="385"/>
      <c r="G1124" s="320"/>
      <c r="H1124" s="320"/>
      <c r="I1124" s="320"/>
      <c r="J1124" s="320"/>
      <c r="K1124" s="320"/>
      <c r="L1124" s="384"/>
      <c r="M1124" s="341">
        <v>2</v>
      </c>
      <c r="N1124" s="341">
        <v>2</v>
      </c>
      <c r="O1124" s="341">
        <v>2</v>
      </c>
      <c r="P1124" s="341">
        <v>2</v>
      </c>
      <c r="Q1124" s="270"/>
      <c r="R1124" s="270"/>
      <c r="S1124" s="271"/>
      <c r="T1124" s="203"/>
      <c r="U1124" s="203"/>
      <c r="V1124" s="203"/>
      <c r="W1124" s="203"/>
      <c r="X1124" s="203"/>
      <c r="Y1124" s="203"/>
      <c r="Z1124" s="203"/>
      <c r="AA1124" s="203"/>
      <c r="AB1124" s="203"/>
      <c r="AC1124" s="203"/>
      <c r="AD1124" s="203"/>
      <c r="AE1124" s="203"/>
      <c r="AF1124" s="203"/>
      <c r="AG1124" s="203"/>
      <c r="AH1124" s="203"/>
      <c r="AI1124" s="203"/>
      <c r="AJ1124" s="203"/>
      <c r="AK1124" s="203"/>
      <c r="AL1124" s="203"/>
      <c r="AM1124" s="203"/>
      <c r="AN1124" s="203"/>
      <c r="AO1124" s="203"/>
      <c r="AP1124" s="203"/>
      <c r="AQ1124" s="203"/>
      <c r="AR1124" s="203"/>
      <c r="AS1124" s="203"/>
      <c r="AT1124" s="203"/>
      <c r="AU1124" s="203"/>
      <c r="AV1124" s="203"/>
      <c r="AW1124" s="203"/>
      <c r="AX1124" s="203"/>
      <c r="AY1124" s="203"/>
      <c r="AZ1124" s="203"/>
      <c r="BA1124" s="203"/>
      <c r="BB1124" s="203"/>
      <c r="BC1124" s="203"/>
      <c r="BD1124" s="203"/>
      <c r="BE1124" s="203"/>
      <c r="BF1124" s="203"/>
      <c r="BG1124" s="203"/>
      <c r="BH1124" s="203"/>
      <c r="BI1124" s="203"/>
      <c r="BJ1124" s="203"/>
      <c r="BK1124" s="203"/>
      <c r="BL1124" s="203"/>
      <c r="BM1124" s="203"/>
      <c r="BN1124" s="203"/>
      <c r="BO1124" s="203"/>
      <c r="BP1124" s="203"/>
      <c r="BQ1124" s="203"/>
      <c r="BR1124" s="203"/>
      <c r="BS1124" s="203"/>
      <c r="BT1124" s="203"/>
      <c r="BU1124" s="203"/>
      <c r="BV1124" s="203"/>
      <c r="BW1124" s="203"/>
      <c r="BX1124" s="203"/>
      <c r="BY1124" s="203"/>
      <c r="BZ1124" s="203"/>
      <c r="CA1124" s="203"/>
      <c r="CB1124" s="203"/>
      <c r="CC1124" s="203"/>
      <c r="CD1124" s="203"/>
      <c r="CE1124" s="203"/>
      <c r="CF1124" s="203"/>
      <c r="CG1124" s="203"/>
      <c r="CH1124" s="203"/>
      <c r="CI1124" s="203"/>
      <c r="CJ1124" s="203"/>
      <c r="CK1124" s="203"/>
      <c r="CL1124" s="203"/>
      <c r="CM1124" s="203"/>
      <c r="CN1124" s="203"/>
      <c r="CO1124" s="203"/>
      <c r="CP1124" s="203"/>
      <c r="CQ1124" s="203"/>
      <c r="CR1124" s="203"/>
      <c r="CS1124" s="203"/>
      <c r="CT1124" s="203"/>
      <c r="CU1124" s="203"/>
      <c r="CV1124" s="203"/>
      <c r="CW1124" s="203"/>
      <c r="CX1124" s="203"/>
      <c r="CY1124" s="203"/>
      <c r="CZ1124" s="203"/>
      <c r="DA1124" s="203"/>
      <c r="DB1124" s="203"/>
      <c r="DC1124" s="203"/>
      <c r="DD1124" s="203"/>
      <c r="DE1124" s="203"/>
      <c r="DF1124" s="203"/>
      <c r="DG1124" s="203"/>
      <c r="DH1124" s="203"/>
      <c r="DI1124" s="203"/>
      <c r="DJ1124" s="203"/>
      <c r="DK1124" s="203"/>
      <c r="DL1124" s="203"/>
      <c r="DM1124" s="203"/>
      <c r="DN1124" s="203"/>
      <c r="DO1124" s="203"/>
      <c r="DP1124" s="203"/>
      <c r="DQ1124" s="203"/>
      <c r="DR1124" s="203"/>
      <c r="DS1124" s="203"/>
      <c r="DT1124" s="203"/>
      <c r="DU1124" s="203"/>
      <c r="DV1124" s="203"/>
      <c r="DW1124" s="203"/>
      <c r="DX1124" s="203"/>
      <c r="DY1124" s="203"/>
      <c r="DZ1124" s="203"/>
      <c r="EA1124" s="203"/>
      <c r="EB1124" s="203"/>
      <c r="EC1124" s="203"/>
      <c r="ED1124" s="203"/>
      <c r="EE1124" s="203"/>
      <c r="EF1124" s="203"/>
      <c r="EG1124" s="203"/>
      <c r="EH1124" s="203"/>
      <c r="EI1124" s="203"/>
      <c r="EJ1124" s="203"/>
      <c r="EK1124" s="203"/>
      <c r="EL1124" s="203"/>
      <c r="EM1124" s="203"/>
      <c r="EN1124" s="203"/>
      <c r="EO1124" s="203"/>
      <c r="EP1124" s="203"/>
      <c r="EQ1124" s="203"/>
      <c r="ER1124" s="203"/>
      <c r="ES1124" s="203"/>
      <c r="ET1124" s="203"/>
      <c r="EU1124" s="203"/>
      <c r="EV1124" s="203"/>
      <c r="EW1124" s="203"/>
      <c r="EX1124" s="203"/>
      <c r="EY1124" s="203"/>
      <c r="EZ1124" s="203"/>
      <c r="FA1124" s="203"/>
      <c r="FB1124" s="203"/>
      <c r="FC1124" s="203"/>
      <c r="FD1124" s="203"/>
      <c r="FE1124" s="203"/>
      <c r="FF1124" s="203"/>
      <c r="FG1124" s="203"/>
      <c r="FH1124" s="203"/>
      <c r="FI1124" s="203"/>
      <c r="FJ1124" s="203"/>
      <c r="FK1124" s="203"/>
      <c r="FL1124" s="203"/>
      <c r="FM1124" s="203"/>
      <c r="FN1124" s="203"/>
      <c r="FO1124" s="203"/>
      <c r="FP1124" s="203"/>
      <c r="FQ1124" s="203"/>
      <c r="FR1124" s="203"/>
      <c r="FS1124" s="203"/>
      <c r="FT1124" s="203"/>
      <c r="FU1124" s="203"/>
      <c r="FV1124" s="203"/>
      <c r="FW1124" s="203"/>
      <c r="FX1124" s="203"/>
      <c r="FY1124" s="203"/>
      <c r="FZ1124" s="203"/>
      <c r="GA1124" s="203"/>
      <c r="GB1124" s="203"/>
      <c r="GC1124" s="203"/>
      <c r="GD1124" s="203"/>
      <c r="GE1124" s="203"/>
      <c r="GF1124" s="203"/>
    </row>
    <row r="1125" spans="1:188" s="272" customFormat="1" ht="15.75" customHeight="1">
      <c r="A1125" s="384"/>
      <c r="B1125" s="97" t="s">
        <v>1182</v>
      </c>
      <c r="C1125" s="353" t="s">
        <v>1183</v>
      </c>
      <c r="D1125" s="341">
        <v>2</v>
      </c>
      <c r="E1125" s="341"/>
      <c r="F1125" s="385"/>
      <c r="G1125" s="320"/>
      <c r="H1125" s="320"/>
      <c r="I1125" s="320"/>
      <c r="J1125" s="320"/>
      <c r="K1125" s="320"/>
      <c r="L1125" s="384"/>
      <c r="M1125" s="341">
        <v>4</v>
      </c>
      <c r="N1125" s="341">
        <v>4</v>
      </c>
      <c r="O1125" s="341">
        <v>4</v>
      </c>
      <c r="P1125" s="341">
        <v>4</v>
      </c>
      <c r="Q1125" s="270"/>
      <c r="R1125" s="270"/>
      <c r="S1125" s="271"/>
      <c r="T1125" s="203"/>
      <c r="U1125" s="203"/>
      <c r="V1125" s="203"/>
      <c r="W1125" s="203"/>
      <c r="X1125" s="203"/>
      <c r="Y1125" s="203"/>
      <c r="Z1125" s="203"/>
      <c r="AA1125" s="203"/>
      <c r="AB1125" s="203"/>
      <c r="AC1125" s="203"/>
      <c r="AD1125" s="203"/>
      <c r="AE1125" s="203"/>
      <c r="AF1125" s="203"/>
      <c r="AG1125" s="203"/>
      <c r="AH1125" s="203"/>
      <c r="AI1125" s="203"/>
      <c r="AJ1125" s="203"/>
      <c r="AK1125" s="203"/>
      <c r="AL1125" s="203"/>
      <c r="AM1125" s="203"/>
      <c r="AN1125" s="203"/>
      <c r="AO1125" s="203"/>
      <c r="AP1125" s="203"/>
      <c r="AQ1125" s="203"/>
      <c r="AR1125" s="203"/>
      <c r="AS1125" s="203"/>
      <c r="AT1125" s="203"/>
      <c r="AU1125" s="203"/>
      <c r="AV1125" s="203"/>
      <c r="AW1125" s="203"/>
      <c r="AX1125" s="203"/>
      <c r="AY1125" s="203"/>
      <c r="AZ1125" s="203"/>
      <c r="BA1125" s="203"/>
      <c r="BB1125" s="203"/>
      <c r="BC1125" s="203"/>
      <c r="BD1125" s="203"/>
      <c r="BE1125" s="203"/>
      <c r="BF1125" s="203"/>
      <c r="BG1125" s="203"/>
      <c r="BH1125" s="203"/>
      <c r="BI1125" s="203"/>
      <c r="BJ1125" s="203"/>
      <c r="BK1125" s="203"/>
      <c r="BL1125" s="203"/>
      <c r="BM1125" s="203"/>
      <c r="BN1125" s="203"/>
      <c r="BO1125" s="203"/>
      <c r="BP1125" s="203"/>
      <c r="BQ1125" s="203"/>
      <c r="BR1125" s="203"/>
      <c r="BS1125" s="203"/>
      <c r="BT1125" s="203"/>
      <c r="BU1125" s="203"/>
      <c r="BV1125" s="203"/>
      <c r="BW1125" s="203"/>
      <c r="BX1125" s="203"/>
      <c r="BY1125" s="203"/>
      <c r="BZ1125" s="203"/>
      <c r="CA1125" s="203"/>
      <c r="CB1125" s="203"/>
      <c r="CC1125" s="203"/>
      <c r="CD1125" s="203"/>
      <c r="CE1125" s="203"/>
      <c r="CF1125" s="203"/>
      <c r="CG1125" s="203"/>
      <c r="CH1125" s="203"/>
      <c r="CI1125" s="203"/>
      <c r="CJ1125" s="203"/>
      <c r="CK1125" s="203"/>
      <c r="CL1125" s="203"/>
      <c r="CM1125" s="203"/>
      <c r="CN1125" s="203"/>
      <c r="CO1125" s="203"/>
      <c r="CP1125" s="203"/>
      <c r="CQ1125" s="203"/>
      <c r="CR1125" s="203"/>
      <c r="CS1125" s="203"/>
      <c r="CT1125" s="203"/>
      <c r="CU1125" s="203"/>
      <c r="CV1125" s="203"/>
      <c r="CW1125" s="203"/>
      <c r="CX1125" s="203"/>
      <c r="CY1125" s="203"/>
      <c r="CZ1125" s="203"/>
      <c r="DA1125" s="203"/>
      <c r="DB1125" s="203"/>
      <c r="DC1125" s="203"/>
      <c r="DD1125" s="203"/>
      <c r="DE1125" s="203"/>
      <c r="DF1125" s="203"/>
      <c r="DG1125" s="203"/>
      <c r="DH1125" s="203"/>
      <c r="DI1125" s="203"/>
      <c r="DJ1125" s="203"/>
      <c r="DK1125" s="203"/>
      <c r="DL1125" s="203"/>
      <c r="DM1125" s="203"/>
      <c r="DN1125" s="203"/>
      <c r="DO1125" s="203"/>
      <c r="DP1125" s="203"/>
      <c r="DQ1125" s="203"/>
      <c r="DR1125" s="203"/>
      <c r="DS1125" s="203"/>
      <c r="DT1125" s="203"/>
      <c r="DU1125" s="203"/>
      <c r="DV1125" s="203"/>
      <c r="DW1125" s="203"/>
      <c r="DX1125" s="203"/>
      <c r="DY1125" s="203"/>
      <c r="DZ1125" s="203"/>
      <c r="EA1125" s="203"/>
      <c r="EB1125" s="203"/>
      <c r="EC1125" s="203"/>
      <c r="ED1125" s="203"/>
      <c r="EE1125" s="203"/>
      <c r="EF1125" s="203"/>
      <c r="EG1125" s="203"/>
      <c r="EH1125" s="203"/>
      <c r="EI1125" s="203"/>
      <c r="EJ1125" s="203"/>
      <c r="EK1125" s="203"/>
      <c r="EL1125" s="203"/>
      <c r="EM1125" s="203"/>
      <c r="EN1125" s="203"/>
      <c r="EO1125" s="203"/>
      <c r="EP1125" s="203"/>
      <c r="EQ1125" s="203"/>
      <c r="ER1125" s="203"/>
      <c r="ES1125" s="203"/>
      <c r="ET1125" s="203"/>
      <c r="EU1125" s="203"/>
      <c r="EV1125" s="203"/>
      <c r="EW1125" s="203"/>
      <c r="EX1125" s="203"/>
      <c r="EY1125" s="203"/>
      <c r="EZ1125" s="203"/>
      <c r="FA1125" s="203"/>
      <c r="FB1125" s="203"/>
      <c r="FC1125" s="203"/>
      <c r="FD1125" s="203"/>
      <c r="FE1125" s="203"/>
      <c r="FF1125" s="203"/>
      <c r="FG1125" s="203"/>
      <c r="FH1125" s="203"/>
      <c r="FI1125" s="203"/>
      <c r="FJ1125" s="203"/>
      <c r="FK1125" s="203"/>
      <c r="FL1125" s="203"/>
      <c r="FM1125" s="203"/>
      <c r="FN1125" s="203"/>
      <c r="FO1125" s="203"/>
      <c r="FP1125" s="203"/>
      <c r="FQ1125" s="203"/>
      <c r="FR1125" s="203"/>
      <c r="FS1125" s="203"/>
      <c r="FT1125" s="203"/>
      <c r="FU1125" s="203"/>
      <c r="FV1125" s="203"/>
      <c r="FW1125" s="203"/>
      <c r="FX1125" s="203"/>
      <c r="FY1125" s="203"/>
      <c r="FZ1125" s="203"/>
      <c r="GA1125" s="203"/>
      <c r="GB1125" s="203"/>
      <c r="GC1125" s="203"/>
      <c r="GD1125" s="203"/>
      <c r="GE1125" s="203"/>
      <c r="GF1125" s="203"/>
    </row>
    <row r="1126" spans="1:188" s="272" customFormat="1" ht="15.75" customHeight="1">
      <c r="A1126" s="384"/>
      <c r="B1126" s="97" t="s">
        <v>1165</v>
      </c>
      <c r="C1126" s="353">
        <v>15030722</v>
      </c>
      <c r="D1126" s="341">
        <v>0</v>
      </c>
      <c r="E1126" s="341"/>
      <c r="F1126" s="385"/>
      <c r="G1126" s="320"/>
      <c r="H1126" s="320"/>
      <c r="I1126" s="320"/>
      <c r="J1126" s="320"/>
      <c r="K1126" s="320"/>
      <c r="L1126" s="384"/>
      <c r="M1126" s="341">
        <v>2</v>
      </c>
      <c r="N1126" s="341">
        <v>3</v>
      </c>
      <c r="O1126" s="341">
        <v>3</v>
      </c>
      <c r="P1126" s="341">
        <v>2</v>
      </c>
      <c r="Q1126" s="270"/>
      <c r="R1126" s="270"/>
      <c r="S1126" s="271"/>
      <c r="T1126" s="203"/>
      <c r="U1126" s="203"/>
      <c r="V1126" s="203"/>
      <c r="W1126" s="203"/>
      <c r="X1126" s="203"/>
      <c r="Y1126" s="203"/>
      <c r="Z1126" s="203"/>
      <c r="AA1126" s="203"/>
      <c r="AB1126" s="203"/>
      <c r="AC1126" s="203"/>
      <c r="AD1126" s="203"/>
      <c r="AE1126" s="203"/>
      <c r="AF1126" s="203"/>
      <c r="AG1126" s="203"/>
      <c r="AH1126" s="203"/>
      <c r="AI1126" s="203"/>
      <c r="AJ1126" s="203"/>
      <c r="AK1126" s="203"/>
      <c r="AL1126" s="203"/>
      <c r="AM1126" s="203"/>
      <c r="AN1126" s="203"/>
      <c r="AO1126" s="203"/>
      <c r="AP1126" s="203"/>
      <c r="AQ1126" s="203"/>
      <c r="AR1126" s="203"/>
      <c r="AS1126" s="203"/>
      <c r="AT1126" s="203"/>
      <c r="AU1126" s="203"/>
      <c r="AV1126" s="203"/>
      <c r="AW1126" s="203"/>
      <c r="AX1126" s="203"/>
      <c r="AY1126" s="203"/>
      <c r="AZ1126" s="203"/>
      <c r="BA1126" s="203"/>
      <c r="BB1126" s="203"/>
      <c r="BC1126" s="203"/>
      <c r="BD1126" s="203"/>
      <c r="BE1126" s="203"/>
      <c r="BF1126" s="203"/>
      <c r="BG1126" s="203"/>
      <c r="BH1126" s="203"/>
      <c r="BI1126" s="203"/>
      <c r="BJ1126" s="203"/>
      <c r="BK1126" s="203"/>
      <c r="BL1126" s="203"/>
      <c r="BM1126" s="203"/>
      <c r="BN1126" s="203"/>
      <c r="BO1126" s="203"/>
      <c r="BP1126" s="203"/>
      <c r="BQ1126" s="203"/>
      <c r="BR1126" s="203"/>
      <c r="BS1126" s="203"/>
      <c r="BT1126" s="203"/>
      <c r="BU1126" s="203"/>
      <c r="BV1126" s="203"/>
      <c r="BW1126" s="203"/>
      <c r="BX1126" s="203"/>
      <c r="BY1126" s="203"/>
      <c r="BZ1126" s="203"/>
      <c r="CA1126" s="203"/>
      <c r="CB1126" s="203"/>
      <c r="CC1126" s="203"/>
      <c r="CD1126" s="203"/>
      <c r="CE1126" s="203"/>
      <c r="CF1126" s="203"/>
      <c r="CG1126" s="203"/>
      <c r="CH1126" s="203"/>
      <c r="CI1126" s="203"/>
      <c r="CJ1126" s="203"/>
      <c r="CK1126" s="203"/>
      <c r="CL1126" s="203"/>
      <c r="CM1126" s="203"/>
      <c r="CN1126" s="203"/>
      <c r="CO1126" s="203"/>
      <c r="CP1126" s="203"/>
      <c r="CQ1126" s="203"/>
      <c r="CR1126" s="203"/>
      <c r="CS1126" s="203"/>
      <c r="CT1126" s="203"/>
      <c r="CU1126" s="203"/>
      <c r="CV1126" s="203"/>
      <c r="CW1126" s="203"/>
      <c r="CX1126" s="203"/>
      <c r="CY1126" s="203"/>
      <c r="CZ1126" s="203"/>
      <c r="DA1126" s="203"/>
      <c r="DB1126" s="203"/>
      <c r="DC1126" s="203"/>
      <c r="DD1126" s="203"/>
      <c r="DE1126" s="203"/>
      <c r="DF1126" s="203"/>
      <c r="DG1126" s="203"/>
      <c r="DH1126" s="203"/>
      <c r="DI1126" s="203"/>
      <c r="DJ1126" s="203"/>
      <c r="DK1126" s="203"/>
      <c r="DL1126" s="203"/>
      <c r="DM1126" s="203"/>
      <c r="DN1126" s="203"/>
      <c r="DO1126" s="203"/>
      <c r="DP1126" s="203"/>
      <c r="DQ1126" s="203"/>
      <c r="DR1126" s="203"/>
      <c r="DS1126" s="203"/>
      <c r="DT1126" s="203"/>
      <c r="DU1126" s="203"/>
      <c r="DV1126" s="203"/>
      <c r="DW1126" s="203"/>
      <c r="DX1126" s="203"/>
      <c r="DY1126" s="203"/>
      <c r="DZ1126" s="203"/>
      <c r="EA1126" s="203"/>
      <c r="EB1126" s="203"/>
      <c r="EC1126" s="203"/>
      <c r="ED1126" s="203"/>
      <c r="EE1126" s="203"/>
      <c r="EF1126" s="203"/>
      <c r="EG1126" s="203"/>
      <c r="EH1126" s="203"/>
      <c r="EI1126" s="203"/>
      <c r="EJ1126" s="203"/>
      <c r="EK1126" s="203"/>
      <c r="EL1126" s="203"/>
      <c r="EM1126" s="203"/>
      <c r="EN1126" s="203"/>
      <c r="EO1126" s="203"/>
      <c r="EP1126" s="203"/>
      <c r="EQ1126" s="203"/>
      <c r="ER1126" s="203"/>
      <c r="ES1126" s="203"/>
      <c r="ET1126" s="203"/>
      <c r="EU1126" s="203"/>
      <c r="EV1126" s="203"/>
      <c r="EW1126" s="203"/>
      <c r="EX1126" s="203"/>
      <c r="EY1126" s="203"/>
      <c r="EZ1126" s="203"/>
      <c r="FA1126" s="203"/>
      <c r="FB1126" s="203"/>
      <c r="FC1126" s="203"/>
      <c r="FD1126" s="203"/>
      <c r="FE1126" s="203"/>
      <c r="FF1126" s="203"/>
      <c r="FG1126" s="203"/>
      <c r="FH1126" s="203"/>
      <c r="FI1126" s="203"/>
      <c r="FJ1126" s="203"/>
      <c r="FK1126" s="203"/>
      <c r="FL1126" s="203"/>
      <c r="FM1126" s="203"/>
      <c r="FN1126" s="203"/>
      <c r="FO1126" s="203"/>
      <c r="FP1126" s="203"/>
      <c r="FQ1126" s="203"/>
      <c r="FR1126" s="203"/>
      <c r="FS1126" s="203"/>
      <c r="FT1126" s="203"/>
      <c r="FU1126" s="203"/>
      <c r="FV1126" s="203"/>
      <c r="FW1126" s="203"/>
      <c r="FX1126" s="203"/>
      <c r="FY1126" s="203"/>
      <c r="FZ1126" s="203"/>
      <c r="GA1126" s="203"/>
      <c r="GB1126" s="203"/>
      <c r="GC1126" s="203"/>
      <c r="GD1126" s="203"/>
      <c r="GE1126" s="203"/>
      <c r="GF1126" s="203"/>
    </row>
    <row r="1127" spans="1:188" s="272" customFormat="1" ht="15.75" customHeight="1">
      <c r="A1127" s="384"/>
      <c r="B1127" s="97" t="s">
        <v>1185</v>
      </c>
      <c r="C1127" s="353" t="s">
        <v>1184</v>
      </c>
      <c r="D1127" s="341">
        <v>0</v>
      </c>
      <c r="E1127" s="341"/>
      <c r="F1127" s="385"/>
      <c r="G1127" s="320"/>
      <c r="H1127" s="320"/>
      <c r="I1127" s="320"/>
      <c r="J1127" s="320"/>
      <c r="K1127" s="320"/>
      <c r="L1127" s="384"/>
      <c r="M1127" s="341">
        <v>2</v>
      </c>
      <c r="N1127" s="341">
        <v>3</v>
      </c>
      <c r="O1127" s="341">
        <v>3</v>
      </c>
      <c r="P1127" s="341">
        <v>2</v>
      </c>
      <c r="Q1127" s="270"/>
      <c r="R1127" s="270"/>
      <c r="S1127" s="271"/>
      <c r="T1127" s="203"/>
      <c r="U1127" s="203"/>
      <c r="V1127" s="203"/>
      <c r="W1127" s="203"/>
      <c r="X1127" s="203"/>
      <c r="Y1127" s="203"/>
      <c r="Z1127" s="203"/>
      <c r="AA1127" s="203"/>
      <c r="AB1127" s="203"/>
      <c r="AC1127" s="203"/>
      <c r="AD1127" s="203"/>
      <c r="AE1127" s="203"/>
      <c r="AF1127" s="203"/>
      <c r="AG1127" s="203"/>
      <c r="AH1127" s="203"/>
      <c r="AI1127" s="203"/>
      <c r="AJ1127" s="203"/>
      <c r="AK1127" s="203"/>
      <c r="AL1127" s="203"/>
      <c r="AM1127" s="203"/>
      <c r="AN1127" s="203"/>
      <c r="AO1127" s="203"/>
      <c r="AP1127" s="203"/>
      <c r="AQ1127" s="203"/>
      <c r="AR1127" s="203"/>
      <c r="AS1127" s="203"/>
      <c r="AT1127" s="203"/>
      <c r="AU1127" s="203"/>
      <c r="AV1127" s="203"/>
      <c r="AW1127" s="203"/>
      <c r="AX1127" s="203"/>
      <c r="AY1127" s="203"/>
      <c r="AZ1127" s="203"/>
      <c r="BA1127" s="203"/>
      <c r="BB1127" s="203"/>
      <c r="BC1127" s="203"/>
      <c r="BD1127" s="203"/>
      <c r="BE1127" s="203"/>
      <c r="BF1127" s="203"/>
      <c r="BG1127" s="203"/>
      <c r="BH1127" s="203"/>
      <c r="BI1127" s="203"/>
      <c r="BJ1127" s="203"/>
      <c r="BK1127" s="203"/>
      <c r="BL1127" s="203"/>
      <c r="BM1127" s="203"/>
      <c r="BN1127" s="203"/>
      <c r="BO1127" s="203"/>
      <c r="BP1127" s="203"/>
      <c r="BQ1127" s="203"/>
      <c r="BR1127" s="203"/>
      <c r="BS1127" s="203"/>
      <c r="BT1127" s="203"/>
      <c r="BU1127" s="203"/>
      <c r="BV1127" s="203"/>
      <c r="BW1127" s="203"/>
      <c r="BX1127" s="203"/>
      <c r="BY1127" s="203"/>
      <c r="BZ1127" s="203"/>
      <c r="CA1127" s="203"/>
      <c r="CB1127" s="203"/>
      <c r="CC1127" s="203"/>
      <c r="CD1127" s="203"/>
      <c r="CE1127" s="203"/>
      <c r="CF1127" s="203"/>
      <c r="CG1127" s="203"/>
      <c r="CH1127" s="203"/>
      <c r="CI1127" s="203"/>
      <c r="CJ1127" s="203"/>
      <c r="CK1127" s="203"/>
      <c r="CL1127" s="203"/>
      <c r="CM1127" s="203"/>
      <c r="CN1127" s="203"/>
      <c r="CO1127" s="203"/>
      <c r="CP1127" s="203"/>
      <c r="CQ1127" s="203"/>
      <c r="CR1127" s="203"/>
      <c r="CS1127" s="203"/>
      <c r="CT1127" s="203"/>
      <c r="CU1127" s="203"/>
      <c r="CV1127" s="203"/>
      <c r="CW1127" s="203"/>
      <c r="CX1127" s="203"/>
      <c r="CY1127" s="203"/>
      <c r="CZ1127" s="203"/>
      <c r="DA1127" s="203"/>
      <c r="DB1127" s="203"/>
      <c r="DC1127" s="203"/>
      <c r="DD1127" s="203"/>
      <c r="DE1127" s="203"/>
      <c r="DF1127" s="203"/>
      <c r="DG1127" s="203"/>
      <c r="DH1127" s="203"/>
      <c r="DI1127" s="203"/>
      <c r="DJ1127" s="203"/>
      <c r="DK1127" s="203"/>
      <c r="DL1127" s="203"/>
      <c r="DM1127" s="203"/>
      <c r="DN1127" s="203"/>
      <c r="DO1127" s="203"/>
      <c r="DP1127" s="203"/>
      <c r="DQ1127" s="203"/>
      <c r="DR1127" s="203"/>
      <c r="DS1127" s="203"/>
      <c r="DT1127" s="203"/>
      <c r="DU1127" s="203"/>
      <c r="DV1127" s="203"/>
      <c r="DW1127" s="203"/>
      <c r="DX1127" s="203"/>
      <c r="DY1127" s="203"/>
      <c r="DZ1127" s="203"/>
      <c r="EA1127" s="203"/>
      <c r="EB1127" s="203"/>
      <c r="EC1127" s="203"/>
      <c r="ED1127" s="203"/>
      <c r="EE1127" s="203"/>
      <c r="EF1127" s="203"/>
      <c r="EG1127" s="203"/>
      <c r="EH1127" s="203"/>
      <c r="EI1127" s="203"/>
      <c r="EJ1127" s="203"/>
      <c r="EK1127" s="203"/>
      <c r="EL1127" s="203"/>
      <c r="EM1127" s="203"/>
      <c r="EN1127" s="203"/>
      <c r="EO1127" s="203"/>
      <c r="EP1127" s="203"/>
      <c r="EQ1127" s="203"/>
      <c r="ER1127" s="203"/>
      <c r="ES1127" s="203"/>
      <c r="ET1127" s="203"/>
      <c r="EU1127" s="203"/>
      <c r="EV1127" s="203"/>
      <c r="EW1127" s="203"/>
      <c r="EX1127" s="203"/>
      <c r="EY1127" s="203"/>
      <c r="EZ1127" s="203"/>
      <c r="FA1127" s="203"/>
      <c r="FB1127" s="203"/>
      <c r="FC1127" s="203"/>
      <c r="FD1127" s="203"/>
      <c r="FE1127" s="203"/>
      <c r="FF1127" s="203"/>
      <c r="FG1127" s="203"/>
      <c r="FH1127" s="203"/>
      <c r="FI1127" s="203"/>
      <c r="FJ1127" s="203"/>
      <c r="FK1127" s="203"/>
      <c r="FL1127" s="203"/>
      <c r="FM1127" s="203"/>
      <c r="FN1127" s="203"/>
      <c r="FO1127" s="203"/>
      <c r="FP1127" s="203"/>
      <c r="FQ1127" s="203"/>
      <c r="FR1127" s="203"/>
      <c r="FS1127" s="203"/>
      <c r="FT1127" s="203"/>
      <c r="FU1127" s="203"/>
      <c r="FV1127" s="203"/>
      <c r="FW1127" s="203"/>
      <c r="FX1127" s="203"/>
      <c r="FY1127" s="203"/>
      <c r="FZ1127" s="203"/>
      <c r="GA1127" s="203"/>
      <c r="GB1127" s="203"/>
      <c r="GC1127" s="203"/>
      <c r="GD1127" s="203"/>
      <c r="GE1127" s="203"/>
      <c r="GF1127" s="203"/>
    </row>
    <row r="1128" spans="1:188" s="272" customFormat="1" ht="15.75" customHeight="1">
      <c r="A1128" s="384"/>
      <c r="B1128" s="97" t="s">
        <v>989</v>
      </c>
      <c r="C1128" s="353">
        <v>15020132</v>
      </c>
      <c r="D1128" s="341">
        <v>0</v>
      </c>
      <c r="E1128" s="341"/>
      <c r="F1128" s="385"/>
      <c r="G1128" s="320"/>
      <c r="H1128" s="320"/>
      <c r="I1128" s="320"/>
      <c r="J1128" s="320"/>
      <c r="K1128" s="320"/>
      <c r="L1128" s="384"/>
      <c r="M1128" s="341">
        <v>2</v>
      </c>
      <c r="N1128" s="341">
        <v>1</v>
      </c>
      <c r="O1128" s="341">
        <v>2</v>
      </c>
      <c r="P1128" s="341">
        <v>1</v>
      </c>
      <c r="Q1128" s="270"/>
      <c r="R1128" s="270"/>
      <c r="S1128" s="271"/>
      <c r="T1128" s="203"/>
      <c r="U1128" s="203"/>
      <c r="V1128" s="203"/>
      <c r="W1128" s="203"/>
      <c r="X1128" s="203"/>
      <c r="Y1128" s="203"/>
      <c r="Z1128" s="203"/>
      <c r="AA1128" s="203"/>
      <c r="AB1128" s="203"/>
      <c r="AC1128" s="203"/>
      <c r="AD1128" s="203"/>
      <c r="AE1128" s="203"/>
      <c r="AF1128" s="203"/>
      <c r="AG1128" s="203"/>
      <c r="AH1128" s="203"/>
      <c r="AI1128" s="203"/>
      <c r="AJ1128" s="203"/>
      <c r="AK1128" s="203"/>
      <c r="AL1128" s="203"/>
      <c r="AM1128" s="203"/>
      <c r="AN1128" s="203"/>
      <c r="AO1128" s="203"/>
      <c r="AP1128" s="203"/>
      <c r="AQ1128" s="203"/>
      <c r="AR1128" s="203"/>
      <c r="AS1128" s="203"/>
      <c r="AT1128" s="203"/>
      <c r="AU1128" s="203"/>
      <c r="AV1128" s="203"/>
      <c r="AW1128" s="203"/>
      <c r="AX1128" s="203"/>
      <c r="AY1128" s="203"/>
      <c r="AZ1128" s="203"/>
      <c r="BA1128" s="203"/>
      <c r="BB1128" s="203"/>
      <c r="BC1128" s="203"/>
      <c r="BD1128" s="203"/>
      <c r="BE1128" s="203"/>
      <c r="BF1128" s="203"/>
      <c r="BG1128" s="203"/>
      <c r="BH1128" s="203"/>
      <c r="BI1128" s="203"/>
      <c r="BJ1128" s="203"/>
      <c r="BK1128" s="203"/>
      <c r="BL1128" s="203"/>
      <c r="BM1128" s="203"/>
      <c r="BN1128" s="203"/>
      <c r="BO1128" s="203"/>
      <c r="BP1128" s="203"/>
      <c r="BQ1128" s="203"/>
      <c r="BR1128" s="203"/>
      <c r="BS1128" s="203"/>
      <c r="BT1128" s="203"/>
      <c r="BU1128" s="203"/>
      <c r="BV1128" s="203"/>
      <c r="BW1128" s="203"/>
      <c r="BX1128" s="203"/>
      <c r="BY1128" s="203"/>
      <c r="BZ1128" s="203"/>
      <c r="CA1128" s="203"/>
      <c r="CB1128" s="203"/>
      <c r="CC1128" s="203"/>
      <c r="CD1128" s="203"/>
      <c r="CE1128" s="203"/>
      <c r="CF1128" s="203"/>
      <c r="CG1128" s="203"/>
      <c r="CH1128" s="203"/>
      <c r="CI1128" s="203"/>
      <c r="CJ1128" s="203"/>
      <c r="CK1128" s="203"/>
      <c r="CL1128" s="203"/>
      <c r="CM1128" s="203"/>
      <c r="CN1128" s="203"/>
      <c r="CO1128" s="203"/>
      <c r="CP1128" s="203"/>
      <c r="CQ1128" s="203"/>
      <c r="CR1128" s="203"/>
      <c r="CS1128" s="203"/>
      <c r="CT1128" s="203"/>
      <c r="CU1128" s="203"/>
      <c r="CV1128" s="203"/>
      <c r="CW1128" s="203"/>
      <c r="CX1128" s="203"/>
      <c r="CY1128" s="203"/>
      <c r="CZ1128" s="203"/>
      <c r="DA1128" s="203"/>
      <c r="DB1128" s="203"/>
      <c r="DC1128" s="203"/>
      <c r="DD1128" s="203"/>
      <c r="DE1128" s="203"/>
      <c r="DF1128" s="203"/>
      <c r="DG1128" s="203"/>
      <c r="DH1128" s="203"/>
      <c r="DI1128" s="203"/>
      <c r="DJ1128" s="203"/>
      <c r="DK1128" s="203"/>
      <c r="DL1128" s="203"/>
      <c r="DM1128" s="203"/>
      <c r="DN1128" s="203"/>
      <c r="DO1128" s="203"/>
      <c r="DP1128" s="203"/>
      <c r="DQ1128" s="203"/>
      <c r="DR1128" s="203"/>
      <c r="DS1128" s="203"/>
      <c r="DT1128" s="203"/>
      <c r="DU1128" s="203"/>
      <c r="DV1128" s="203"/>
      <c r="DW1128" s="203"/>
      <c r="DX1128" s="203"/>
      <c r="DY1128" s="203"/>
      <c r="DZ1128" s="203"/>
      <c r="EA1128" s="203"/>
      <c r="EB1128" s="203"/>
      <c r="EC1128" s="203"/>
      <c r="ED1128" s="203"/>
      <c r="EE1128" s="203"/>
      <c r="EF1128" s="203"/>
      <c r="EG1128" s="203"/>
      <c r="EH1128" s="203"/>
      <c r="EI1128" s="203"/>
      <c r="EJ1128" s="203"/>
      <c r="EK1128" s="203"/>
      <c r="EL1128" s="203"/>
      <c r="EM1128" s="203"/>
      <c r="EN1128" s="203"/>
      <c r="EO1128" s="203"/>
      <c r="EP1128" s="203"/>
      <c r="EQ1128" s="203"/>
      <c r="ER1128" s="203"/>
      <c r="ES1128" s="203"/>
      <c r="ET1128" s="203"/>
      <c r="EU1128" s="203"/>
      <c r="EV1128" s="203"/>
      <c r="EW1128" s="203"/>
      <c r="EX1128" s="203"/>
      <c r="EY1128" s="203"/>
      <c r="EZ1128" s="203"/>
      <c r="FA1128" s="203"/>
      <c r="FB1128" s="203"/>
      <c r="FC1128" s="203"/>
      <c r="FD1128" s="203"/>
      <c r="FE1128" s="203"/>
      <c r="FF1128" s="203"/>
      <c r="FG1128" s="203"/>
      <c r="FH1128" s="203"/>
      <c r="FI1128" s="203"/>
      <c r="FJ1128" s="203"/>
      <c r="FK1128" s="203"/>
      <c r="FL1128" s="203"/>
      <c r="FM1128" s="203"/>
      <c r="FN1128" s="203"/>
      <c r="FO1128" s="203"/>
      <c r="FP1128" s="203"/>
      <c r="FQ1128" s="203"/>
      <c r="FR1128" s="203"/>
      <c r="FS1128" s="203"/>
      <c r="FT1128" s="203"/>
      <c r="FU1128" s="203"/>
      <c r="FV1128" s="203"/>
      <c r="FW1128" s="203"/>
      <c r="FX1128" s="203"/>
      <c r="FY1128" s="203"/>
      <c r="FZ1128" s="203"/>
      <c r="GA1128" s="203"/>
      <c r="GB1128" s="203"/>
      <c r="GC1128" s="203"/>
      <c r="GD1128" s="203"/>
      <c r="GE1128" s="203"/>
      <c r="GF1128" s="203"/>
    </row>
    <row r="1129" spans="1:188" s="272" customFormat="1" ht="15.75" customHeight="1">
      <c r="A1129" s="384"/>
      <c r="B1129" s="97" t="s">
        <v>1186</v>
      </c>
      <c r="C1129" s="353" t="s">
        <v>1077</v>
      </c>
      <c r="D1129" s="341">
        <v>2</v>
      </c>
      <c r="E1129" s="341"/>
      <c r="F1129" s="385"/>
      <c r="G1129" s="320"/>
      <c r="H1129" s="320"/>
      <c r="I1129" s="320"/>
      <c r="J1129" s="320"/>
      <c r="K1129" s="320"/>
      <c r="L1129" s="384"/>
      <c r="M1129" s="341">
        <v>1</v>
      </c>
      <c r="N1129" s="341"/>
      <c r="O1129" s="341">
        <v>1</v>
      </c>
      <c r="P1129" s="341"/>
      <c r="Q1129" s="270"/>
      <c r="R1129" s="270"/>
      <c r="S1129" s="271"/>
      <c r="T1129" s="203"/>
      <c r="U1129" s="203"/>
      <c r="V1129" s="203"/>
      <c r="W1129" s="203"/>
      <c r="X1129" s="203"/>
      <c r="Y1129" s="203"/>
      <c r="Z1129" s="203"/>
      <c r="AA1129" s="203"/>
      <c r="AB1129" s="203"/>
      <c r="AC1129" s="203"/>
      <c r="AD1129" s="203"/>
      <c r="AE1129" s="203"/>
      <c r="AF1129" s="203"/>
      <c r="AG1129" s="203"/>
      <c r="AH1129" s="203"/>
      <c r="AI1129" s="203"/>
      <c r="AJ1129" s="203"/>
      <c r="AK1129" s="203"/>
      <c r="AL1129" s="203"/>
      <c r="AM1129" s="203"/>
      <c r="AN1129" s="203"/>
      <c r="AO1129" s="203"/>
      <c r="AP1129" s="203"/>
      <c r="AQ1129" s="203"/>
      <c r="AR1129" s="203"/>
      <c r="AS1129" s="203"/>
      <c r="AT1129" s="203"/>
      <c r="AU1129" s="203"/>
      <c r="AV1129" s="203"/>
      <c r="AW1129" s="203"/>
      <c r="AX1129" s="203"/>
      <c r="AY1129" s="203"/>
      <c r="AZ1129" s="203"/>
      <c r="BA1129" s="203"/>
      <c r="BB1129" s="203"/>
      <c r="BC1129" s="203"/>
      <c r="BD1129" s="203"/>
      <c r="BE1129" s="203"/>
      <c r="BF1129" s="203"/>
      <c r="BG1129" s="203"/>
      <c r="BH1129" s="203"/>
      <c r="BI1129" s="203"/>
      <c r="BJ1129" s="203"/>
      <c r="BK1129" s="203"/>
      <c r="BL1129" s="203"/>
      <c r="BM1129" s="203"/>
      <c r="BN1129" s="203"/>
      <c r="BO1129" s="203"/>
      <c r="BP1129" s="203"/>
      <c r="BQ1129" s="203"/>
      <c r="BR1129" s="203"/>
      <c r="BS1129" s="203"/>
      <c r="BT1129" s="203"/>
      <c r="BU1129" s="203"/>
      <c r="BV1129" s="203"/>
      <c r="BW1129" s="203"/>
      <c r="BX1129" s="203"/>
      <c r="BY1129" s="203"/>
      <c r="BZ1129" s="203"/>
      <c r="CA1129" s="203"/>
      <c r="CB1129" s="203"/>
      <c r="CC1129" s="203"/>
      <c r="CD1129" s="203"/>
      <c r="CE1129" s="203"/>
      <c r="CF1129" s="203"/>
      <c r="CG1129" s="203"/>
      <c r="CH1129" s="203"/>
      <c r="CI1129" s="203"/>
      <c r="CJ1129" s="203"/>
      <c r="CK1129" s="203"/>
      <c r="CL1129" s="203"/>
      <c r="CM1129" s="203"/>
      <c r="CN1129" s="203"/>
      <c r="CO1129" s="203"/>
      <c r="CP1129" s="203"/>
      <c r="CQ1129" s="203"/>
      <c r="CR1129" s="203"/>
      <c r="CS1129" s="203"/>
      <c r="CT1129" s="203"/>
      <c r="CU1129" s="203"/>
      <c r="CV1129" s="203"/>
      <c r="CW1129" s="203"/>
      <c r="CX1129" s="203"/>
      <c r="CY1129" s="203"/>
      <c r="CZ1129" s="203"/>
      <c r="DA1129" s="203"/>
      <c r="DB1129" s="203"/>
      <c r="DC1129" s="203"/>
      <c r="DD1129" s="203"/>
      <c r="DE1129" s="203"/>
      <c r="DF1129" s="203"/>
      <c r="DG1129" s="203"/>
      <c r="DH1129" s="203"/>
      <c r="DI1129" s="203"/>
      <c r="DJ1129" s="203"/>
      <c r="DK1129" s="203"/>
      <c r="DL1129" s="203"/>
      <c r="DM1129" s="203"/>
      <c r="DN1129" s="203"/>
      <c r="DO1129" s="203"/>
      <c r="DP1129" s="203"/>
      <c r="DQ1129" s="203"/>
      <c r="DR1129" s="203"/>
      <c r="DS1129" s="203"/>
      <c r="DT1129" s="203"/>
      <c r="DU1129" s="203"/>
      <c r="DV1129" s="203"/>
      <c r="DW1129" s="203"/>
      <c r="DX1129" s="203"/>
      <c r="DY1129" s="203"/>
      <c r="DZ1129" s="203"/>
      <c r="EA1129" s="203"/>
      <c r="EB1129" s="203"/>
      <c r="EC1129" s="203"/>
      <c r="ED1129" s="203"/>
      <c r="EE1129" s="203"/>
      <c r="EF1129" s="203"/>
      <c r="EG1129" s="203"/>
      <c r="EH1129" s="203"/>
      <c r="EI1129" s="203"/>
      <c r="EJ1129" s="203"/>
      <c r="EK1129" s="203"/>
      <c r="EL1129" s="203"/>
      <c r="EM1129" s="203"/>
      <c r="EN1129" s="203"/>
      <c r="EO1129" s="203"/>
      <c r="EP1129" s="203"/>
      <c r="EQ1129" s="203"/>
      <c r="ER1129" s="203"/>
      <c r="ES1129" s="203"/>
      <c r="ET1129" s="203"/>
      <c r="EU1129" s="203"/>
      <c r="EV1129" s="203"/>
      <c r="EW1129" s="203"/>
      <c r="EX1129" s="203"/>
      <c r="EY1129" s="203"/>
      <c r="EZ1129" s="203"/>
      <c r="FA1129" s="203"/>
      <c r="FB1129" s="203"/>
      <c r="FC1129" s="203"/>
      <c r="FD1129" s="203"/>
      <c r="FE1129" s="203"/>
      <c r="FF1129" s="203"/>
      <c r="FG1129" s="203"/>
      <c r="FH1129" s="203"/>
      <c r="FI1129" s="203"/>
      <c r="FJ1129" s="203"/>
      <c r="FK1129" s="203"/>
      <c r="FL1129" s="203"/>
      <c r="FM1129" s="203"/>
      <c r="FN1129" s="203"/>
      <c r="FO1129" s="203"/>
      <c r="FP1129" s="203"/>
      <c r="FQ1129" s="203"/>
      <c r="FR1129" s="203"/>
      <c r="FS1129" s="203"/>
      <c r="FT1129" s="203"/>
      <c r="FU1129" s="203"/>
      <c r="FV1129" s="203"/>
      <c r="FW1129" s="203"/>
      <c r="FX1129" s="203"/>
      <c r="FY1129" s="203"/>
      <c r="FZ1129" s="203"/>
      <c r="GA1129" s="203"/>
      <c r="GB1129" s="203"/>
      <c r="GC1129" s="203"/>
      <c r="GD1129" s="203"/>
      <c r="GE1129" s="203"/>
      <c r="GF1129" s="203"/>
    </row>
    <row r="1130" spans="1:57" s="236" customFormat="1" ht="17.25" customHeight="1">
      <c r="A1130" s="50"/>
      <c r="B1130" s="346" t="s">
        <v>999</v>
      </c>
      <c r="C1130" s="353"/>
      <c r="D1130" s="386">
        <f>D1131+D1132+D1133+D1134+D1135+D1136+D1137+D1138+D1139</f>
        <v>12</v>
      </c>
      <c r="E1130" s="386"/>
      <c r="F1130" s="386"/>
      <c r="G1130" s="386"/>
      <c r="H1130" s="386"/>
      <c r="I1130" s="386"/>
      <c r="J1130" s="386"/>
      <c r="K1130" s="386"/>
      <c r="L1130" s="386"/>
      <c r="M1130" s="386">
        <f>M1131+M1132+M1133+M1134+M1135+M1136+M1137+M1138+M1139</f>
        <v>13</v>
      </c>
      <c r="N1130" s="386">
        <f>N1131+N1132+N1133+N1134+N1135+N1136+N1137+N1138+N1139</f>
        <v>8</v>
      </c>
      <c r="O1130" s="386">
        <f>O1131+O1132+O1133+O1134+O1135+O1136+O1137+O1138+O1139</f>
        <v>2</v>
      </c>
      <c r="P1130" s="386">
        <f>P1131+P1132+P1133+P1134+P1135+P1136+P1137+P1138+P1139</f>
        <v>9</v>
      </c>
      <c r="Q1130" s="234"/>
      <c r="R1130" s="235"/>
      <c r="S1130" s="235"/>
      <c r="BA1130" s="234"/>
      <c r="BB1130" s="235"/>
      <c r="BC1130" s="235"/>
      <c r="BD1130" s="235"/>
      <c r="BE1130" s="235"/>
    </row>
    <row r="1131" spans="1:19" s="236" customFormat="1" ht="17.25" customHeight="1">
      <c r="A1131" s="356"/>
      <c r="B1131" s="97" t="s">
        <v>1166</v>
      </c>
      <c r="C1131" s="353" t="s">
        <v>1187</v>
      </c>
      <c r="D1131" s="341">
        <v>1</v>
      </c>
      <c r="E1131" s="341"/>
      <c r="F1131" s="257"/>
      <c r="G1131" s="60"/>
      <c r="H1131" s="60"/>
      <c r="I1131" s="60"/>
      <c r="J1131" s="60"/>
      <c r="K1131" s="60"/>
      <c r="L1131" s="354"/>
      <c r="M1131" s="341">
        <v>1</v>
      </c>
      <c r="N1131" s="341"/>
      <c r="O1131" s="341"/>
      <c r="P1131" s="341">
        <v>1</v>
      </c>
      <c r="Q1131" s="269"/>
      <c r="R1131" s="269"/>
      <c r="S1131" s="269"/>
    </row>
    <row r="1132" spans="1:19" s="236" customFormat="1" ht="17.25" customHeight="1">
      <c r="A1132" s="356"/>
      <c r="B1132" s="97" t="s">
        <v>1167</v>
      </c>
      <c r="C1132" s="353" t="s">
        <v>134</v>
      </c>
      <c r="D1132" s="341">
        <v>0</v>
      </c>
      <c r="E1132" s="341"/>
      <c r="F1132" s="257"/>
      <c r="G1132" s="60"/>
      <c r="H1132" s="60"/>
      <c r="I1132" s="60"/>
      <c r="J1132" s="60"/>
      <c r="K1132" s="60"/>
      <c r="L1132" s="354"/>
      <c r="M1132" s="341">
        <v>1</v>
      </c>
      <c r="N1132" s="341">
        <v>2</v>
      </c>
      <c r="O1132" s="341"/>
      <c r="P1132" s="341"/>
      <c r="Q1132" s="269"/>
      <c r="R1132" s="269"/>
      <c r="S1132" s="269"/>
    </row>
    <row r="1133" spans="1:19" s="236" customFormat="1" ht="17.25" customHeight="1">
      <c r="A1133" s="356"/>
      <c r="B1133" s="97" t="s">
        <v>1168</v>
      </c>
      <c r="C1133" s="353" t="s">
        <v>134</v>
      </c>
      <c r="D1133" s="341">
        <v>3</v>
      </c>
      <c r="E1133" s="341"/>
      <c r="F1133" s="257"/>
      <c r="G1133" s="60"/>
      <c r="H1133" s="60"/>
      <c r="I1133" s="60"/>
      <c r="J1133" s="60"/>
      <c r="K1133" s="60"/>
      <c r="L1133" s="354"/>
      <c r="M1133" s="341">
        <v>3</v>
      </c>
      <c r="N1133" s="341">
        <v>2</v>
      </c>
      <c r="O1133" s="341"/>
      <c r="P1133" s="341">
        <v>2</v>
      </c>
      <c r="Q1133" s="269"/>
      <c r="R1133" s="269"/>
      <c r="S1133" s="269"/>
    </row>
    <row r="1134" spans="1:19" s="236" customFormat="1" ht="17.25" customHeight="1">
      <c r="A1134" s="356"/>
      <c r="B1134" s="97" t="s">
        <v>1169</v>
      </c>
      <c r="C1134" s="353" t="s">
        <v>449</v>
      </c>
      <c r="D1134" s="341">
        <v>0</v>
      </c>
      <c r="E1134" s="341"/>
      <c r="F1134" s="257"/>
      <c r="G1134" s="60"/>
      <c r="H1134" s="60"/>
      <c r="I1134" s="60"/>
      <c r="J1134" s="60"/>
      <c r="K1134" s="60"/>
      <c r="L1134" s="354"/>
      <c r="M1134" s="341"/>
      <c r="N1134" s="341">
        <v>1</v>
      </c>
      <c r="O1134" s="341"/>
      <c r="P1134" s="341"/>
      <c r="Q1134" s="269"/>
      <c r="R1134" s="269"/>
      <c r="S1134" s="269"/>
    </row>
    <row r="1135" spans="1:19" s="236" customFormat="1" ht="17.25" customHeight="1">
      <c r="A1135" s="356"/>
      <c r="B1135" s="97" t="s">
        <v>1170</v>
      </c>
      <c r="C1135" s="353" t="s">
        <v>1046</v>
      </c>
      <c r="D1135" s="341">
        <v>0</v>
      </c>
      <c r="E1135" s="341"/>
      <c r="F1135" s="257"/>
      <c r="G1135" s="60"/>
      <c r="H1135" s="60"/>
      <c r="I1135" s="60"/>
      <c r="J1135" s="60"/>
      <c r="K1135" s="60"/>
      <c r="L1135" s="354"/>
      <c r="M1135" s="341"/>
      <c r="N1135" s="341">
        <v>1</v>
      </c>
      <c r="O1135" s="341"/>
      <c r="P1135" s="341"/>
      <c r="Q1135" s="269"/>
      <c r="R1135" s="269"/>
      <c r="S1135" s="269"/>
    </row>
    <row r="1136" spans="1:19" s="236" customFormat="1" ht="17.25" customHeight="1">
      <c r="A1136" s="356"/>
      <c r="B1136" s="97" t="s">
        <v>1171</v>
      </c>
      <c r="C1136" s="353">
        <v>37020339</v>
      </c>
      <c r="D1136" s="341">
        <v>4</v>
      </c>
      <c r="E1136" s="341"/>
      <c r="F1136" s="257"/>
      <c r="G1136" s="60"/>
      <c r="H1136" s="60"/>
      <c r="I1136" s="60"/>
      <c r="J1136" s="60"/>
      <c r="K1136" s="60"/>
      <c r="L1136" s="354"/>
      <c r="M1136" s="341">
        <v>4</v>
      </c>
      <c r="N1136" s="341">
        <v>2</v>
      </c>
      <c r="O1136" s="341">
        <v>2</v>
      </c>
      <c r="P1136" s="341">
        <v>2</v>
      </c>
      <c r="Q1136" s="269"/>
      <c r="R1136" s="269"/>
      <c r="S1136" s="269"/>
    </row>
    <row r="1137" spans="1:19" s="236" customFormat="1" ht="17.25" customHeight="1">
      <c r="A1137" s="356"/>
      <c r="B1137" s="97" t="s">
        <v>1172</v>
      </c>
      <c r="C1137" s="353" t="s">
        <v>39</v>
      </c>
      <c r="D1137" s="341">
        <v>2</v>
      </c>
      <c r="E1137" s="341"/>
      <c r="F1137" s="257"/>
      <c r="G1137" s="60"/>
      <c r="H1137" s="60"/>
      <c r="I1137" s="60"/>
      <c r="J1137" s="60"/>
      <c r="K1137" s="60"/>
      <c r="L1137" s="354"/>
      <c r="M1137" s="341">
        <v>2</v>
      </c>
      <c r="N1137" s="341"/>
      <c r="O1137" s="341"/>
      <c r="P1137" s="341">
        <v>2</v>
      </c>
      <c r="Q1137" s="269"/>
      <c r="R1137" s="269"/>
      <c r="S1137" s="269"/>
    </row>
    <row r="1138" spans="1:19" s="236" customFormat="1" ht="17.25" customHeight="1">
      <c r="A1138" s="356"/>
      <c r="B1138" s="97" t="s">
        <v>1173</v>
      </c>
      <c r="C1138" s="353" t="s">
        <v>39</v>
      </c>
      <c r="D1138" s="341">
        <v>2</v>
      </c>
      <c r="E1138" s="341"/>
      <c r="F1138" s="257"/>
      <c r="G1138" s="60"/>
      <c r="H1138" s="60"/>
      <c r="I1138" s="60"/>
      <c r="J1138" s="60"/>
      <c r="K1138" s="60"/>
      <c r="L1138" s="354"/>
      <c r="M1138" s="341">
        <v>1</v>
      </c>
      <c r="N1138" s="341"/>
      <c r="O1138" s="341"/>
      <c r="P1138" s="341">
        <v>1</v>
      </c>
      <c r="Q1138" s="269"/>
      <c r="R1138" s="269"/>
      <c r="S1138" s="269"/>
    </row>
    <row r="1139" spans="1:19" s="236" customFormat="1" ht="17.25" customHeight="1">
      <c r="A1139" s="356"/>
      <c r="B1139" s="97" t="s">
        <v>1174</v>
      </c>
      <c r="C1139" s="353" t="s">
        <v>1188</v>
      </c>
      <c r="D1139" s="341">
        <v>0</v>
      </c>
      <c r="E1139" s="341"/>
      <c r="F1139" s="257"/>
      <c r="G1139" s="60"/>
      <c r="H1139" s="60"/>
      <c r="I1139" s="60"/>
      <c r="J1139" s="60"/>
      <c r="K1139" s="60"/>
      <c r="L1139" s="354"/>
      <c r="M1139" s="341">
        <v>1</v>
      </c>
      <c r="N1139" s="341"/>
      <c r="O1139" s="341"/>
      <c r="P1139" s="341">
        <v>1</v>
      </c>
      <c r="Q1139" s="269"/>
      <c r="R1139" s="269"/>
      <c r="S1139" s="269"/>
    </row>
    <row r="1140" spans="1:16" s="207" customFormat="1" ht="16.5" customHeight="1">
      <c r="A1140" s="50"/>
      <c r="B1140" s="346" t="s">
        <v>37</v>
      </c>
      <c r="C1140" s="353"/>
      <c r="D1140" s="348">
        <v>3</v>
      </c>
      <c r="E1140" s="387">
        <v>1</v>
      </c>
      <c r="F1140" s="60"/>
      <c r="G1140" s="60"/>
      <c r="H1140" s="60"/>
      <c r="I1140" s="60"/>
      <c r="J1140" s="60"/>
      <c r="K1140" s="60"/>
      <c r="L1140" s="60"/>
      <c r="M1140" s="348">
        <v>7</v>
      </c>
      <c r="N1140" s="348">
        <v>1</v>
      </c>
      <c r="O1140" s="348">
        <v>2</v>
      </c>
      <c r="P1140" s="348">
        <v>2</v>
      </c>
    </row>
    <row r="1141" spans="1:188" s="272" customFormat="1" ht="15.75" customHeight="1">
      <c r="A1141" s="384"/>
      <c r="B1141" s="97" t="s">
        <v>1175</v>
      </c>
      <c r="C1141" s="353" t="s">
        <v>872</v>
      </c>
      <c r="D1141" s="341">
        <v>0</v>
      </c>
      <c r="E1141" s="341"/>
      <c r="F1141" s="385"/>
      <c r="G1141" s="320"/>
      <c r="H1141" s="320"/>
      <c r="I1141" s="320"/>
      <c r="J1141" s="320"/>
      <c r="K1141" s="320"/>
      <c r="L1141" s="384"/>
      <c r="M1141" s="341">
        <v>1</v>
      </c>
      <c r="N1141" s="341"/>
      <c r="O1141" s="341"/>
      <c r="P1141" s="341"/>
      <c r="Q1141" s="270"/>
      <c r="R1141" s="270"/>
      <c r="S1141" s="271"/>
      <c r="T1141" s="203"/>
      <c r="U1141" s="203"/>
      <c r="V1141" s="203"/>
      <c r="W1141" s="203"/>
      <c r="X1141" s="203"/>
      <c r="Y1141" s="203"/>
      <c r="Z1141" s="203"/>
      <c r="AA1141" s="203"/>
      <c r="AB1141" s="203"/>
      <c r="AC1141" s="203"/>
      <c r="AD1141" s="203"/>
      <c r="AE1141" s="203"/>
      <c r="AF1141" s="203"/>
      <c r="AG1141" s="203"/>
      <c r="AH1141" s="203"/>
      <c r="AI1141" s="203"/>
      <c r="AJ1141" s="203"/>
      <c r="AK1141" s="203"/>
      <c r="AL1141" s="203"/>
      <c r="AM1141" s="203"/>
      <c r="AN1141" s="203"/>
      <c r="AO1141" s="203"/>
      <c r="AP1141" s="203"/>
      <c r="AQ1141" s="203"/>
      <c r="AR1141" s="203"/>
      <c r="AS1141" s="203"/>
      <c r="AT1141" s="203"/>
      <c r="AU1141" s="203"/>
      <c r="AV1141" s="203"/>
      <c r="AW1141" s="203"/>
      <c r="AX1141" s="203"/>
      <c r="AY1141" s="203"/>
      <c r="AZ1141" s="203"/>
      <c r="BA1141" s="203"/>
      <c r="BB1141" s="203"/>
      <c r="BC1141" s="203"/>
      <c r="BD1141" s="203"/>
      <c r="BE1141" s="203"/>
      <c r="BF1141" s="203"/>
      <c r="BG1141" s="203"/>
      <c r="BH1141" s="203"/>
      <c r="BI1141" s="203"/>
      <c r="BJ1141" s="203"/>
      <c r="BK1141" s="203"/>
      <c r="BL1141" s="203"/>
      <c r="BM1141" s="203"/>
      <c r="BN1141" s="203"/>
      <c r="BO1141" s="203"/>
      <c r="BP1141" s="203"/>
      <c r="BQ1141" s="203"/>
      <c r="BR1141" s="203"/>
      <c r="BS1141" s="203"/>
      <c r="BT1141" s="203"/>
      <c r="BU1141" s="203"/>
      <c r="BV1141" s="203"/>
      <c r="BW1141" s="203"/>
      <c r="BX1141" s="203"/>
      <c r="BY1141" s="203"/>
      <c r="BZ1141" s="203"/>
      <c r="CA1141" s="203"/>
      <c r="CB1141" s="203"/>
      <c r="CC1141" s="203"/>
      <c r="CD1141" s="203"/>
      <c r="CE1141" s="203"/>
      <c r="CF1141" s="203"/>
      <c r="CG1141" s="203"/>
      <c r="CH1141" s="203"/>
      <c r="CI1141" s="203"/>
      <c r="CJ1141" s="203"/>
      <c r="CK1141" s="203"/>
      <c r="CL1141" s="203"/>
      <c r="CM1141" s="203"/>
      <c r="CN1141" s="203"/>
      <c r="CO1141" s="203"/>
      <c r="CP1141" s="203"/>
      <c r="CQ1141" s="203"/>
      <c r="CR1141" s="203"/>
      <c r="CS1141" s="203"/>
      <c r="CT1141" s="203"/>
      <c r="CU1141" s="203"/>
      <c r="CV1141" s="203"/>
      <c r="CW1141" s="203"/>
      <c r="CX1141" s="203"/>
      <c r="CY1141" s="203"/>
      <c r="CZ1141" s="203"/>
      <c r="DA1141" s="203"/>
      <c r="DB1141" s="203"/>
      <c r="DC1141" s="203"/>
      <c r="DD1141" s="203"/>
      <c r="DE1141" s="203"/>
      <c r="DF1141" s="203"/>
      <c r="DG1141" s="203"/>
      <c r="DH1141" s="203"/>
      <c r="DI1141" s="203"/>
      <c r="DJ1141" s="203"/>
      <c r="DK1141" s="203"/>
      <c r="DL1141" s="203"/>
      <c r="DM1141" s="203"/>
      <c r="DN1141" s="203"/>
      <c r="DO1141" s="203"/>
      <c r="DP1141" s="203"/>
      <c r="DQ1141" s="203"/>
      <c r="DR1141" s="203"/>
      <c r="DS1141" s="203"/>
      <c r="DT1141" s="203"/>
      <c r="DU1141" s="203"/>
      <c r="DV1141" s="203"/>
      <c r="DW1141" s="203"/>
      <c r="DX1141" s="203"/>
      <c r="DY1141" s="203"/>
      <c r="DZ1141" s="203"/>
      <c r="EA1141" s="203"/>
      <c r="EB1141" s="203"/>
      <c r="EC1141" s="203"/>
      <c r="ED1141" s="203"/>
      <c r="EE1141" s="203"/>
      <c r="EF1141" s="203"/>
      <c r="EG1141" s="203"/>
      <c r="EH1141" s="203"/>
      <c r="EI1141" s="203"/>
      <c r="EJ1141" s="203"/>
      <c r="EK1141" s="203"/>
      <c r="EL1141" s="203"/>
      <c r="EM1141" s="203"/>
      <c r="EN1141" s="203"/>
      <c r="EO1141" s="203"/>
      <c r="EP1141" s="203"/>
      <c r="EQ1141" s="203"/>
      <c r="ER1141" s="203"/>
      <c r="ES1141" s="203"/>
      <c r="ET1141" s="203"/>
      <c r="EU1141" s="203"/>
      <c r="EV1141" s="203"/>
      <c r="EW1141" s="203"/>
      <c r="EX1141" s="203"/>
      <c r="EY1141" s="203"/>
      <c r="EZ1141" s="203"/>
      <c r="FA1141" s="203"/>
      <c r="FB1141" s="203"/>
      <c r="FC1141" s="203"/>
      <c r="FD1141" s="203"/>
      <c r="FE1141" s="203"/>
      <c r="FF1141" s="203"/>
      <c r="FG1141" s="203"/>
      <c r="FH1141" s="203"/>
      <c r="FI1141" s="203"/>
      <c r="FJ1141" s="203"/>
      <c r="FK1141" s="203"/>
      <c r="FL1141" s="203"/>
      <c r="FM1141" s="203"/>
      <c r="FN1141" s="203"/>
      <c r="FO1141" s="203"/>
      <c r="FP1141" s="203"/>
      <c r="FQ1141" s="203"/>
      <c r="FR1141" s="203"/>
      <c r="FS1141" s="203"/>
      <c r="FT1141" s="203"/>
      <c r="FU1141" s="203"/>
      <c r="FV1141" s="203"/>
      <c r="FW1141" s="203"/>
      <c r="FX1141" s="203"/>
      <c r="FY1141" s="203"/>
      <c r="FZ1141" s="203"/>
      <c r="GA1141" s="203"/>
      <c r="GB1141" s="203"/>
      <c r="GC1141" s="203"/>
      <c r="GD1141" s="203"/>
      <c r="GE1141" s="203"/>
      <c r="GF1141" s="203"/>
    </row>
    <row r="1142" spans="1:188" s="272" customFormat="1" ht="15.75" customHeight="1">
      <c r="A1142" s="384"/>
      <c r="B1142" s="97" t="s">
        <v>1176</v>
      </c>
      <c r="C1142" s="353" t="s">
        <v>41</v>
      </c>
      <c r="D1142" s="341">
        <v>0</v>
      </c>
      <c r="E1142" s="341"/>
      <c r="F1142" s="385"/>
      <c r="G1142" s="320"/>
      <c r="H1142" s="320"/>
      <c r="I1142" s="320"/>
      <c r="J1142" s="320"/>
      <c r="K1142" s="320"/>
      <c r="L1142" s="384"/>
      <c r="M1142" s="341">
        <v>1</v>
      </c>
      <c r="N1142" s="341"/>
      <c r="O1142" s="341"/>
      <c r="P1142" s="341"/>
      <c r="Q1142" s="270"/>
      <c r="R1142" s="270"/>
      <c r="S1142" s="271"/>
      <c r="T1142" s="203"/>
      <c r="U1142" s="203"/>
      <c r="V1142" s="203"/>
      <c r="W1142" s="203"/>
      <c r="X1142" s="203"/>
      <c r="Y1142" s="203"/>
      <c r="Z1142" s="203"/>
      <c r="AA1142" s="203"/>
      <c r="AB1142" s="203"/>
      <c r="AC1142" s="203"/>
      <c r="AD1142" s="203"/>
      <c r="AE1142" s="203"/>
      <c r="AF1142" s="203"/>
      <c r="AG1142" s="203"/>
      <c r="AH1142" s="203"/>
      <c r="AI1142" s="203"/>
      <c r="AJ1142" s="203"/>
      <c r="AK1142" s="203"/>
      <c r="AL1142" s="203"/>
      <c r="AM1142" s="203"/>
      <c r="AN1142" s="203"/>
      <c r="AO1142" s="203"/>
      <c r="AP1142" s="203"/>
      <c r="AQ1142" s="203"/>
      <c r="AR1142" s="203"/>
      <c r="AS1142" s="203"/>
      <c r="AT1142" s="203"/>
      <c r="AU1142" s="203"/>
      <c r="AV1142" s="203"/>
      <c r="AW1142" s="203"/>
      <c r="AX1142" s="203"/>
      <c r="AY1142" s="203"/>
      <c r="AZ1142" s="203"/>
      <c r="BA1142" s="203"/>
      <c r="BB1142" s="203"/>
      <c r="BC1142" s="203"/>
      <c r="BD1142" s="203"/>
      <c r="BE1142" s="203"/>
      <c r="BF1142" s="203"/>
      <c r="BG1142" s="203"/>
      <c r="BH1142" s="203"/>
      <c r="BI1142" s="203"/>
      <c r="BJ1142" s="203"/>
      <c r="BK1142" s="203"/>
      <c r="BL1142" s="203"/>
      <c r="BM1142" s="203"/>
      <c r="BN1142" s="203"/>
      <c r="BO1142" s="203"/>
      <c r="BP1142" s="203"/>
      <c r="BQ1142" s="203"/>
      <c r="BR1142" s="203"/>
      <c r="BS1142" s="203"/>
      <c r="BT1142" s="203"/>
      <c r="BU1142" s="203"/>
      <c r="BV1142" s="203"/>
      <c r="BW1142" s="203"/>
      <c r="BX1142" s="203"/>
      <c r="BY1142" s="203"/>
      <c r="BZ1142" s="203"/>
      <c r="CA1142" s="203"/>
      <c r="CB1142" s="203"/>
      <c r="CC1142" s="203"/>
      <c r="CD1142" s="203"/>
      <c r="CE1142" s="203"/>
      <c r="CF1142" s="203"/>
      <c r="CG1142" s="203"/>
      <c r="CH1142" s="203"/>
      <c r="CI1142" s="203"/>
      <c r="CJ1142" s="203"/>
      <c r="CK1142" s="203"/>
      <c r="CL1142" s="203"/>
      <c r="CM1142" s="203"/>
      <c r="CN1142" s="203"/>
      <c r="CO1142" s="203"/>
      <c r="CP1142" s="203"/>
      <c r="CQ1142" s="203"/>
      <c r="CR1142" s="203"/>
      <c r="CS1142" s="203"/>
      <c r="CT1142" s="203"/>
      <c r="CU1142" s="203"/>
      <c r="CV1142" s="203"/>
      <c r="CW1142" s="203"/>
      <c r="CX1142" s="203"/>
      <c r="CY1142" s="203"/>
      <c r="CZ1142" s="203"/>
      <c r="DA1142" s="203"/>
      <c r="DB1142" s="203"/>
      <c r="DC1142" s="203"/>
      <c r="DD1142" s="203"/>
      <c r="DE1142" s="203"/>
      <c r="DF1142" s="203"/>
      <c r="DG1142" s="203"/>
      <c r="DH1142" s="203"/>
      <c r="DI1142" s="203"/>
      <c r="DJ1142" s="203"/>
      <c r="DK1142" s="203"/>
      <c r="DL1142" s="203"/>
      <c r="DM1142" s="203"/>
      <c r="DN1142" s="203"/>
      <c r="DO1142" s="203"/>
      <c r="DP1142" s="203"/>
      <c r="DQ1142" s="203"/>
      <c r="DR1142" s="203"/>
      <c r="DS1142" s="203"/>
      <c r="DT1142" s="203"/>
      <c r="DU1142" s="203"/>
      <c r="DV1142" s="203"/>
      <c r="DW1142" s="203"/>
      <c r="DX1142" s="203"/>
      <c r="DY1142" s="203"/>
      <c r="DZ1142" s="203"/>
      <c r="EA1142" s="203"/>
      <c r="EB1142" s="203"/>
      <c r="EC1142" s="203"/>
      <c r="ED1142" s="203"/>
      <c r="EE1142" s="203"/>
      <c r="EF1142" s="203"/>
      <c r="EG1142" s="203"/>
      <c r="EH1142" s="203"/>
      <c r="EI1142" s="203"/>
      <c r="EJ1142" s="203"/>
      <c r="EK1142" s="203"/>
      <c r="EL1142" s="203"/>
      <c r="EM1142" s="203"/>
      <c r="EN1142" s="203"/>
      <c r="EO1142" s="203"/>
      <c r="EP1142" s="203"/>
      <c r="EQ1142" s="203"/>
      <c r="ER1142" s="203"/>
      <c r="ES1142" s="203"/>
      <c r="ET1142" s="203"/>
      <c r="EU1142" s="203"/>
      <c r="EV1142" s="203"/>
      <c r="EW1142" s="203"/>
      <c r="EX1142" s="203"/>
      <c r="EY1142" s="203"/>
      <c r="EZ1142" s="203"/>
      <c r="FA1142" s="203"/>
      <c r="FB1142" s="203"/>
      <c r="FC1142" s="203"/>
      <c r="FD1142" s="203"/>
      <c r="FE1142" s="203"/>
      <c r="FF1142" s="203"/>
      <c r="FG1142" s="203"/>
      <c r="FH1142" s="203"/>
      <c r="FI1142" s="203"/>
      <c r="FJ1142" s="203"/>
      <c r="FK1142" s="203"/>
      <c r="FL1142" s="203"/>
      <c r="FM1142" s="203"/>
      <c r="FN1142" s="203"/>
      <c r="FO1142" s="203"/>
      <c r="FP1142" s="203"/>
      <c r="FQ1142" s="203"/>
      <c r="FR1142" s="203"/>
      <c r="FS1142" s="203"/>
      <c r="FT1142" s="203"/>
      <c r="FU1142" s="203"/>
      <c r="FV1142" s="203"/>
      <c r="FW1142" s="203"/>
      <c r="FX1142" s="203"/>
      <c r="FY1142" s="203"/>
      <c r="FZ1142" s="203"/>
      <c r="GA1142" s="203"/>
      <c r="GB1142" s="203"/>
      <c r="GC1142" s="203"/>
      <c r="GD1142" s="203"/>
      <c r="GE1142" s="203"/>
      <c r="GF1142" s="203"/>
    </row>
    <row r="1143" spans="1:188" s="272" customFormat="1" ht="15.75" customHeight="1">
      <c r="A1143" s="384"/>
      <c r="B1143" s="97" t="s">
        <v>1177</v>
      </c>
      <c r="C1143" s="353" t="s">
        <v>1187</v>
      </c>
      <c r="D1143" s="341">
        <v>1</v>
      </c>
      <c r="E1143" s="341"/>
      <c r="F1143" s="385"/>
      <c r="G1143" s="320"/>
      <c r="H1143" s="320"/>
      <c r="I1143" s="320"/>
      <c r="J1143" s="320"/>
      <c r="K1143" s="320"/>
      <c r="L1143" s="384"/>
      <c r="M1143" s="341">
        <v>1</v>
      </c>
      <c r="N1143" s="341"/>
      <c r="O1143" s="341">
        <v>1</v>
      </c>
      <c r="P1143" s="341"/>
      <c r="Q1143" s="270"/>
      <c r="R1143" s="270"/>
      <c r="S1143" s="271"/>
      <c r="T1143" s="203"/>
      <c r="U1143" s="203"/>
      <c r="V1143" s="203"/>
      <c r="W1143" s="203"/>
      <c r="X1143" s="203"/>
      <c r="Y1143" s="203"/>
      <c r="Z1143" s="203"/>
      <c r="AA1143" s="203"/>
      <c r="AB1143" s="203"/>
      <c r="AC1143" s="203"/>
      <c r="AD1143" s="203"/>
      <c r="AE1143" s="203"/>
      <c r="AF1143" s="203"/>
      <c r="AG1143" s="203"/>
      <c r="AH1143" s="203"/>
      <c r="AI1143" s="203"/>
      <c r="AJ1143" s="203"/>
      <c r="AK1143" s="203"/>
      <c r="AL1143" s="203"/>
      <c r="AM1143" s="203"/>
      <c r="AN1143" s="203"/>
      <c r="AO1143" s="203"/>
      <c r="AP1143" s="203"/>
      <c r="AQ1143" s="203"/>
      <c r="AR1143" s="203"/>
      <c r="AS1143" s="203"/>
      <c r="AT1143" s="203"/>
      <c r="AU1143" s="203"/>
      <c r="AV1143" s="203"/>
      <c r="AW1143" s="203"/>
      <c r="AX1143" s="203"/>
      <c r="AY1143" s="203"/>
      <c r="AZ1143" s="203"/>
      <c r="BA1143" s="203"/>
      <c r="BB1143" s="203"/>
      <c r="BC1143" s="203"/>
      <c r="BD1143" s="203"/>
      <c r="BE1143" s="203"/>
      <c r="BF1143" s="203"/>
      <c r="BG1143" s="203"/>
      <c r="BH1143" s="203"/>
      <c r="BI1143" s="203"/>
      <c r="BJ1143" s="203"/>
      <c r="BK1143" s="203"/>
      <c r="BL1143" s="203"/>
      <c r="BM1143" s="203"/>
      <c r="BN1143" s="203"/>
      <c r="BO1143" s="203"/>
      <c r="BP1143" s="203"/>
      <c r="BQ1143" s="203"/>
      <c r="BR1143" s="203"/>
      <c r="BS1143" s="203"/>
      <c r="BT1143" s="203"/>
      <c r="BU1143" s="203"/>
      <c r="BV1143" s="203"/>
      <c r="BW1143" s="203"/>
      <c r="BX1143" s="203"/>
      <c r="BY1143" s="203"/>
      <c r="BZ1143" s="203"/>
      <c r="CA1143" s="203"/>
      <c r="CB1143" s="203"/>
      <c r="CC1143" s="203"/>
      <c r="CD1143" s="203"/>
      <c r="CE1143" s="203"/>
      <c r="CF1143" s="203"/>
      <c r="CG1143" s="203"/>
      <c r="CH1143" s="203"/>
      <c r="CI1143" s="203"/>
      <c r="CJ1143" s="203"/>
      <c r="CK1143" s="203"/>
      <c r="CL1143" s="203"/>
      <c r="CM1143" s="203"/>
      <c r="CN1143" s="203"/>
      <c r="CO1143" s="203"/>
      <c r="CP1143" s="203"/>
      <c r="CQ1143" s="203"/>
      <c r="CR1143" s="203"/>
      <c r="CS1143" s="203"/>
      <c r="CT1143" s="203"/>
      <c r="CU1143" s="203"/>
      <c r="CV1143" s="203"/>
      <c r="CW1143" s="203"/>
      <c r="CX1143" s="203"/>
      <c r="CY1143" s="203"/>
      <c r="CZ1143" s="203"/>
      <c r="DA1143" s="203"/>
      <c r="DB1143" s="203"/>
      <c r="DC1143" s="203"/>
      <c r="DD1143" s="203"/>
      <c r="DE1143" s="203"/>
      <c r="DF1143" s="203"/>
      <c r="DG1143" s="203"/>
      <c r="DH1143" s="203"/>
      <c r="DI1143" s="203"/>
      <c r="DJ1143" s="203"/>
      <c r="DK1143" s="203"/>
      <c r="DL1143" s="203"/>
      <c r="DM1143" s="203"/>
      <c r="DN1143" s="203"/>
      <c r="DO1143" s="203"/>
      <c r="DP1143" s="203"/>
      <c r="DQ1143" s="203"/>
      <c r="DR1143" s="203"/>
      <c r="DS1143" s="203"/>
      <c r="DT1143" s="203"/>
      <c r="DU1143" s="203"/>
      <c r="DV1143" s="203"/>
      <c r="DW1143" s="203"/>
      <c r="DX1143" s="203"/>
      <c r="DY1143" s="203"/>
      <c r="DZ1143" s="203"/>
      <c r="EA1143" s="203"/>
      <c r="EB1143" s="203"/>
      <c r="EC1143" s="203"/>
      <c r="ED1143" s="203"/>
      <c r="EE1143" s="203"/>
      <c r="EF1143" s="203"/>
      <c r="EG1143" s="203"/>
      <c r="EH1143" s="203"/>
      <c r="EI1143" s="203"/>
      <c r="EJ1143" s="203"/>
      <c r="EK1143" s="203"/>
      <c r="EL1143" s="203"/>
      <c r="EM1143" s="203"/>
      <c r="EN1143" s="203"/>
      <c r="EO1143" s="203"/>
      <c r="EP1143" s="203"/>
      <c r="EQ1143" s="203"/>
      <c r="ER1143" s="203"/>
      <c r="ES1143" s="203"/>
      <c r="ET1143" s="203"/>
      <c r="EU1143" s="203"/>
      <c r="EV1143" s="203"/>
      <c r="EW1143" s="203"/>
      <c r="EX1143" s="203"/>
      <c r="EY1143" s="203"/>
      <c r="EZ1143" s="203"/>
      <c r="FA1143" s="203"/>
      <c r="FB1143" s="203"/>
      <c r="FC1143" s="203"/>
      <c r="FD1143" s="203"/>
      <c r="FE1143" s="203"/>
      <c r="FF1143" s="203"/>
      <c r="FG1143" s="203"/>
      <c r="FH1143" s="203"/>
      <c r="FI1143" s="203"/>
      <c r="FJ1143" s="203"/>
      <c r="FK1143" s="203"/>
      <c r="FL1143" s="203"/>
      <c r="FM1143" s="203"/>
      <c r="FN1143" s="203"/>
      <c r="FO1143" s="203"/>
      <c r="FP1143" s="203"/>
      <c r="FQ1143" s="203"/>
      <c r="FR1143" s="203"/>
      <c r="FS1143" s="203"/>
      <c r="FT1143" s="203"/>
      <c r="FU1143" s="203"/>
      <c r="FV1143" s="203"/>
      <c r="FW1143" s="203"/>
      <c r="FX1143" s="203"/>
      <c r="FY1143" s="203"/>
      <c r="FZ1143" s="203"/>
      <c r="GA1143" s="203"/>
      <c r="GB1143" s="203"/>
      <c r="GC1143" s="203"/>
      <c r="GD1143" s="203"/>
      <c r="GE1143" s="203"/>
      <c r="GF1143" s="203"/>
    </row>
    <row r="1144" spans="1:188" s="272" customFormat="1" ht="15.75" customHeight="1">
      <c r="A1144" s="384"/>
      <c r="B1144" s="97" t="s">
        <v>1178</v>
      </c>
      <c r="C1144" s="353" t="s">
        <v>1189</v>
      </c>
      <c r="D1144" s="341">
        <v>0</v>
      </c>
      <c r="E1144" s="341"/>
      <c r="F1144" s="385"/>
      <c r="G1144" s="320"/>
      <c r="H1144" s="320"/>
      <c r="I1144" s="320"/>
      <c r="J1144" s="320"/>
      <c r="K1144" s="320"/>
      <c r="L1144" s="384"/>
      <c r="M1144" s="341">
        <v>1</v>
      </c>
      <c r="N1144" s="341"/>
      <c r="O1144" s="341">
        <v>1</v>
      </c>
      <c r="P1144" s="341"/>
      <c r="Q1144" s="270"/>
      <c r="R1144" s="270"/>
      <c r="S1144" s="271"/>
      <c r="T1144" s="203"/>
      <c r="U1144" s="203"/>
      <c r="V1144" s="203"/>
      <c r="W1144" s="203"/>
      <c r="X1144" s="203"/>
      <c r="Y1144" s="203"/>
      <c r="Z1144" s="203"/>
      <c r="AA1144" s="203"/>
      <c r="AB1144" s="203"/>
      <c r="AC1144" s="203"/>
      <c r="AD1144" s="203"/>
      <c r="AE1144" s="203"/>
      <c r="AF1144" s="203"/>
      <c r="AG1144" s="203"/>
      <c r="AH1144" s="203"/>
      <c r="AI1144" s="203"/>
      <c r="AJ1144" s="203"/>
      <c r="AK1144" s="203"/>
      <c r="AL1144" s="203"/>
      <c r="AM1144" s="203"/>
      <c r="AN1144" s="203"/>
      <c r="AO1144" s="203"/>
      <c r="AP1144" s="203"/>
      <c r="AQ1144" s="203"/>
      <c r="AR1144" s="203"/>
      <c r="AS1144" s="203"/>
      <c r="AT1144" s="203"/>
      <c r="AU1144" s="203"/>
      <c r="AV1144" s="203"/>
      <c r="AW1144" s="203"/>
      <c r="AX1144" s="203"/>
      <c r="AY1144" s="203"/>
      <c r="AZ1144" s="203"/>
      <c r="BA1144" s="203"/>
      <c r="BB1144" s="203"/>
      <c r="BC1144" s="203"/>
      <c r="BD1144" s="203"/>
      <c r="BE1144" s="203"/>
      <c r="BF1144" s="203"/>
      <c r="BG1144" s="203"/>
      <c r="BH1144" s="203"/>
      <c r="BI1144" s="203"/>
      <c r="BJ1144" s="203"/>
      <c r="BK1144" s="203"/>
      <c r="BL1144" s="203"/>
      <c r="BM1144" s="203"/>
      <c r="BN1144" s="203"/>
      <c r="BO1144" s="203"/>
      <c r="BP1144" s="203"/>
      <c r="BQ1144" s="203"/>
      <c r="BR1144" s="203"/>
      <c r="BS1144" s="203"/>
      <c r="BT1144" s="203"/>
      <c r="BU1144" s="203"/>
      <c r="BV1144" s="203"/>
      <c r="BW1144" s="203"/>
      <c r="BX1144" s="203"/>
      <c r="BY1144" s="203"/>
      <c r="BZ1144" s="203"/>
      <c r="CA1144" s="203"/>
      <c r="CB1144" s="203"/>
      <c r="CC1144" s="203"/>
      <c r="CD1144" s="203"/>
      <c r="CE1144" s="203"/>
      <c r="CF1144" s="203"/>
      <c r="CG1144" s="203"/>
      <c r="CH1144" s="203"/>
      <c r="CI1144" s="203"/>
      <c r="CJ1144" s="203"/>
      <c r="CK1144" s="203"/>
      <c r="CL1144" s="203"/>
      <c r="CM1144" s="203"/>
      <c r="CN1144" s="203"/>
      <c r="CO1144" s="203"/>
      <c r="CP1144" s="203"/>
      <c r="CQ1144" s="203"/>
      <c r="CR1144" s="203"/>
      <c r="CS1144" s="203"/>
      <c r="CT1144" s="203"/>
      <c r="CU1144" s="203"/>
      <c r="CV1144" s="203"/>
      <c r="CW1144" s="203"/>
      <c r="CX1144" s="203"/>
      <c r="CY1144" s="203"/>
      <c r="CZ1144" s="203"/>
      <c r="DA1144" s="203"/>
      <c r="DB1144" s="203"/>
      <c r="DC1144" s="203"/>
      <c r="DD1144" s="203"/>
      <c r="DE1144" s="203"/>
      <c r="DF1144" s="203"/>
      <c r="DG1144" s="203"/>
      <c r="DH1144" s="203"/>
      <c r="DI1144" s="203"/>
      <c r="DJ1144" s="203"/>
      <c r="DK1144" s="203"/>
      <c r="DL1144" s="203"/>
      <c r="DM1144" s="203"/>
      <c r="DN1144" s="203"/>
      <c r="DO1144" s="203"/>
      <c r="DP1144" s="203"/>
      <c r="DQ1144" s="203"/>
      <c r="DR1144" s="203"/>
      <c r="DS1144" s="203"/>
      <c r="DT1144" s="203"/>
      <c r="DU1144" s="203"/>
      <c r="DV1144" s="203"/>
      <c r="DW1144" s="203"/>
      <c r="DX1144" s="203"/>
      <c r="DY1144" s="203"/>
      <c r="DZ1144" s="203"/>
      <c r="EA1144" s="203"/>
      <c r="EB1144" s="203"/>
      <c r="EC1144" s="203"/>
      <c r="ED1144" s="203"/>
      <c r="EE1144" s="203"/>
      <c r="EF1144" s="203"/>
      <c r="EG1144" s="203"/>
      <c r="EH1144" s="203"/>
      <c r="EI1144" s="203"/>
      <c r="EJ1144" s="203"/>
      <c r="EK1144" s="203"/>
      <c r="EL1144" s="203"/>
      <c r="EM1144" s="203"/>
      <c r="EN1144" s="203"/>
      <c r="EO1144" s="203"/>
      <c r="EP1144" s="203"/>
      <c r="EQ1144" s="203"/>
      <c r="ER1144" s="203"/>
      <c r="ES1144" s="203"/>
      <c r="ET1144" s="203"/>
      <c r="EU1144" s="203"/>
      <c r="EV1144" s="203"/>
      <c r="EW1144" s="203"/>
      <c r="EX1144" s="203"/>
      <c r="EY1144" s="203"/>
      <c r="EZ1144" s="203"/>
      <c r="FA1144" s="203"/>
      <c r="FB1144" s="203"/>
      <c r="FC1144" s="203"/>
      <c r="FD1144" s="203"/>
      <c r="FE1144" s="203"/>
      <c r="FF1144" s="203"/>
      <c r="FG1144" s="203"/>
      <c r="FH1144" s="203"/>
      <c r="FI1144" s="203"/>
      <c r="FJ1144" s="203"/>
      <c r="FK1144" s="203"/>
      <c r="FL1144" s="203"/>
      <c r="FM1144" s="203"/>
      <c r="FN1144" s="203"/>
      <c r="FO1144" s="203"/>
      <c r="FP1144" s="203"/>
      <c r="FQ1144" s="203"/>
      <c r="FR1144" s="203"/>
      <c r="FS1144" s="203"/>
      <c r="FT1144" s="203"/>
      <c r="FU1144" s="203"/>
      <c r="FV1144" s="203"/>
      <c r="FW1144" s="203"/>
      <c r="FX1144" s="203"/>
      <c r="FY1144" s="203"/>
      <c r="FZ1144" s="203"/>
      <c r="GA1144" s="203"/>
      <c r="GB1144" s="203"/>
      <c r="GC1144" s="203"/>
      <c r="GD1144" s="203"/>
      <c r="GE1144" s="203"/>
      <c r="GF1144" s="203"/>
    </row>
    <row r="1145" spans="1:188" s="272" customFormat="1" ht="15.75" customHeight="1">
      <c r="A1145" s="384"/>
      <c r="B1145" s="97" t="s">
        <v>1179</v>
      </c>
      <c r="C1145" s="353" t="s">
        <v>1189</v>
      </c>
      <c r="D1145" s="341">
        <v>1</v>
      </c>
      <c r="E1145" s="341">
        <v>1</v>
      </c>
      <c r="F1145" s="385"/>
      <c r="G1145" s="320"/>
      <c r="H1145" s="320"/>
      <c r="I1145" s="320"/>
      <c r="J1145" s="320"/>
      <c r="K1145" s="320"/>
      <c r="L1145" s="384"/>
      <c r="M1145" s="341">
        <v>1</v>
      </c>
      <c r="N1145" s="341"/>
      <c r="O1145" s="341"/>
      <c r="P1145" s="341">
        <v>1</v>
      </c>
      <c r="Q1145" s="270"/>
      <c r="R1145" s="270"/>
      <c r="S1145" s="271"/>
      <c r="T1145" s="203"/>
      <c r="U1145" s="203"/>
      <c r="V1145" s="203"/>
      <c r="W1145" s="203"/>
      <c r="X1145" s="203"/>
      <c r="Y1145" s="203"/>
      <c r="Z1145" s="203"/>
      <c r="AA1145" s="203"/>
      <c r="AB1145" s="203"/>
      <c r="AC1145" s="203"/>
      <c r="AD1145" s="203"/>
      <c r="AE1145" s="203"/>
      <c r="AF1145" s="203"/>
      <c r="AG1145" s="203"/>
      <c r="AH1145" s="203"/>
      <c r="AI1145" s="203"/>
      <c r="AJ1145" s="203"/>
      <c r="AK1145" s="203"/>
      <c r="AL1145" s="203"/>
      <c r="AM1145" s="203"/>
      <c r="AN1145" s="203"/>
      <c r="AO1145" s="203"/>
      <c r="AP1145" s="203"/>
      <c r="AQ1145" s="203"/>
      <c r="AR1145" s="203"/>
      <c r="AS1145" s="203"/>
      <c r="AT1145" s="203"/>
      <c r="AU1145" s="203"/>
      <c r="AV1145" s="203"/>
      <c r="AW1145" s="203"/>
      <c r="AX1145" s="203"/>
      <c r="AY1145" s="203"/>
      <c r="AZ1145" s="203"/>
      <c r="BA1145" s="203"/>
      <c r="BB1145" s="203"/>
      <c r="BC1145" s="203"/>
      <c r="BD1145" s="203"/>
      <c r="BE1145" s="203"/>
      <c r="BF1145" s="203"/>
      <c r="BG1145" s="203"/>
      <c r="BH1145" s="203"/>
      <c r="BI1145" s="203"/>
      <c r="BJ1145" s="203"/>
      <c r="BK1145" s="203"/>
      <c r="BL1145" s="203"/>
      <c r="BM1145" s="203"/>
      <c r="BN1145" s="203"/>
      <c r="BO1145" s="203"/>
      <c r="BP1145" s="203"/>
      <c r="BQ1145" s="203"/>
      <c r="BR1145" s="203"/>
      <c r="BS1145" s="203"/>
      <c r="BT1145" s="203"/>
      <c r="BU1145" s="203"/>
      <c r="BV1145" s="203"/>
      <c r="BW1145" s="203"/>
      <c r="BX1145" s="203"/>
      <c r="BY1145" s="203"/>
      <c r="BZ1145" s="203"/>
      <c r="CA1145" s="203"/>
      <c r="CB1145" s="203"/>
      <c r="CC1145" s="203"/>
      <c r="CD1145" s="203"/>
      <c r="CE1145" s="203"/>
      <c r="CF1145" s="203"/>
      <c r="CG1145" s="203"/>
      <c r="CH1145" s="203"/>
      <c r="CI1145" s="203"/>
      <c r="CJ1145" s="203"/>
      <c r="CK1145" s="203"/>
      <c r="CL1145" s="203"/>
      <c r="CM1145" s="203"/>
      <c r="CN1145" s="203"/>
      <c r="CO1145" s="203"/>
      <c r="CP1145" s="203"/>
      <c r="CQ1145" s="203"/>
      <c r="CR1145" s="203"/>
      <c r="CS1145" s="203"/>
      <c r="CT1145" s="203"/>
      <c r="CU1145" s="203"/>
      <c r="CV1145" s="203"/>
      <c r="CW1145" s="203"/>
      <c r="CX1145" s="203"/>
      <c r="CY1145" s="203"/>
      <c r="CZ1145" s="203"/>
      <c r="DA1145" s="203"/>
      <c r="DB1145" s="203"/>
      <c r="DC1145" s="203"/>
      <c r="DD1145" s="203"/>
      <c r="DE1145" s="203"/>
      <c r="DF1145" s="203"/>
      <c r="DG1145" s="203"/>
      <c r="DH1145" s="203"/>
      <c r="DI1145" s="203"/>
      <c r="DJ1145" s="203"/>
      <c r="DK1145" s="203"/>
      <c r="DL1145" s="203"/>
      <c r="DM1145" s="203"/>
      <c r="DN1145" s="203"/>
      <c r="DO1145" s="203"/>
      <c r="DP1145" s="203"/>
      <c r="DQ1145" s="203"/>
      <c r="DR1145" s="203"/>
      <c r="DS1145" s="203"/>
      <c r="DT1145" s="203"/>
      <c r="DU1145" s="203"/>
      <c r="DV1145" s="203"/>
      <c r="DW1145" s="203"/>
      <c r="DX1145" s="203"/>
      <c r="DY1145" s="203"/>
      <c r="DZ1145" s="203"/>
      <c r="EA1145" s="203"/>
      <c r="EB1145" s="203"/>
      <c r="EC1145" s="203"/>
      <c r="ED1145" s="203"/>
      <c r="EE1145" s="203"/>
      <c r="EF1145" s="203"/>
      <c r="EG1145" s="203"/>
      <c r="EH1145" s="203"/>
      <c r="EI1145" s="203"/>
      <c r="EJ1145" s="203"/>
      <c r="EK1145" s="203"/>
      <c r="EL1145" s="203"/>
      <c r="EM1145" s="203"/>
      <c r="EN1145" s="203"/>
      <c r="EO1145" s="203"/>
      <c r="EP1145" s="203"/>
      <c r="EQ1145" s="203"/>
      <c r="ER1145" s="203"/>
      <c r="ES1145" s="203"/>
      <c r="ET1145" s="203"/>
      <c r="EU1145" s="203"/>
      <c r="EV1145" s="203"/>
      <c r="EW1145" s="203"/>
      <c r="EX1145" s="203"/>
      <c r="EY1145" s="203"/>
      <c r="EZ1145" s="203"/>
      <c r="FA1145" s="203"/>
      <c r="FB1145" s="203"/>
      <c r="FC1145" s="203"/>
      <c r="FD1145" s="203"/>
      <c r="FE1145" s="203"/>
      <c r="FF1145" s="203"/>
      <c r="FG1145" s="203"/>
      <c r="FH1145" s="203"/>
      <c r="FI1145" s="203"/>
      <c r="FJ1145" s="203"/>
      <c r="FK1145" s="203"/>
      <c r="FL1145" s="203"/>
      <c r="FM1145" s="203"/>
      <c r="FN1145" s="203"/>
      <c r="FO1145" s="203"/>
      <c r="FP1145" s="203"/>
      <c r="FQ1145" s="203"/>
      <c r="FR1145" s="203"/>
      <c r="FS1145" s="203"/>
      <c r="FT1145" s="203"/>
      <c r="FU1145" s="203"/>
      <c r="FV1145" s="203"/>
      <c r="FW1145" s="203"/>
      <c r="FX1145" s="203"/>
      <c r="FY1145" s="203"/>
      <c r="FZ1145" s="203"/>
      <c r="GA1145" s="203"/>
      <c r="GB1145" s="203"/>
      <c r="GC1145" s="203"/>
      <c r="GD1145" s="203"/>
      <c r="GE1145" s="203"/>
      <c r="GF1145" s="203"/>
    </row>
    <row r="1146" spans="1:188" s="272" customFormat="1" ht="15.75" customHeight="1">
      <c r="A1146" s="384"/>
      <c r="B1146" s="97" t="s">
        <v>1180</v>
      </c>
      <c r="C1146" s="353" t="s">
        <v>1189</v>
      </c>
      <c r="D1146" s="341">
        <v>1</v>
      </c>
      <c r="E1146" s="341"/>
      <c r="F1146" s="385"/>
      <c r="G1146" s="320"/>
      <c r="H1146" s="320"/>
      <c r="I1146" s="320"/>
      <c r="J1146" s="320"/>
      <c r="K1146" s="320"/>
      <c r="L1146" s="384"/>
      <c r="M1146" s="341">
        <v>1</v>
      </c>
      <c r="N1146" s="341">
        <v>1</v>
      </c>
      <c r="O1146" s="341"/>
      <c r="P1146" s="341"/>
      <c r="Q1146" s="270"/>
      <c r="R1146" s="270"/>
      <c r="S1146" s="271"/>
      <c r="T1146" s="203"/>
      <c r="U1146" s="203"/>
      <c r="V1146" s="203"/>
      <c r="W1146" s="203"/>
      <c r="X1146" s="203"/>
      <c r="Y1146" s="203"/>
      <c r="Z1146" s="203"/>
      <c r="AA1146" s="203"/>
      <c r="AB1146" s="203"/>
      <c r="AC1146" s="203"/>
      <c r="AD1146" s="203"/>
      <c r="AE1146" s="203"/>
      <c r="AF1146" s="203"/>
      <c r="AG1146" s="203"/>
      <c r="AH1146" s="203"/>
      <c r="AI1146" s="203"/>
      <c r="AJ1146" s="203"/>
      <c r="AK1146" s="203"/>
      <c r="AL1146" s="203"/>
      <c r="AM1146" s="203"/>
      <c r="AN1146" s="203"/>
      <c r="AO1146" s="203"/>
      <c r="AP1146" s="203"/>
      <c r="AQ1146" s="203"/>
      <c r="AR1146" s="203"/>
      <c r="AS1146" s="203"/>
      <c r="AT1146" s="203"/>
      <c r="AU1146" s="203"/>
      <c r="AV1146" s="203"/>
      <c r="AW1146" s="203"/>
      <c r="AX1146" s="203"/>
      <c r="AY1146" s="203"/>
      <c r="AZ1146" s="203"/>
      <c r="BA1146" s="203"/>
      <c r="BB1146" s="203"/>
      <c r="BC1146" s="203"/>
      <c r="BD1146" s="203"/>
      <c r="BE1146" s="203"/>
      <c r="BF1146" s="203"/>
      <c r="BG1146" s="203"/>
      <c r="BH1146" s="203"/>
      <c r="BI1146" s="203"/>
      <c r="BJ1146" s="203"/>
      <c r="BK1146" s="203"/>
      <c r="BL1146" s="203"/>
      <c r="BM1146" s="203"/>
      <c r="BN1146" s="203"/>
      <c r="BO1146" s="203"/>
      <c r="BP1146" s="203"/>
      <c r="BQ1146" s="203"/>
      <c r="BR1146" s="203"/>
      <c r="BS1146" s="203"/>
      <c r="BT1146" s="203"/>
      <c r="BU1146" s="203"/>
      <c r="BV1146" s="203"/>
      <c r="BW1146" s="203"/>
      <c r="BX1146" s="203"/>
      <c r="BY1146" s="203"/>
      <c r="BZ1146" s="203"/>
      <c r="CA1146" s="203"/>
      <c r="CB1146" s="203"/>
      <c r="CC1146" s="203"/>
      <c r="CD1146" s="203"/>
      <c r="CE1146" s="203"/>
      <c r="CF1146" s="203"/>
      <c r="CG1146" s="203"/>
      <c r="CH1146" s="203"/>
      <c r="CI1146" s="203"/>
      <c r="CJ1146" s="203"/>
      <c r="CK1146" s="203"/>
      <c r="CL1146" s="203"/>
      <c r="CM1146" s="203"/>
      <c r="CN1146" s="203"/>
      <c r="CO1146" s="203"/>
      <c r="CP1146" s="203"/>
      <c r="CQ1146" s="203"/>
      <c r="CR1146" s="203"/>
      <c r="CS1146" s="203"/>
      <c r="CT1146" s="203"/>
      <c r="CU1146" s="203"/>
      <c r="CV1146" s="203"/>
      <c r="CW1146" s="203"/>
      <c r="CX1146" s="203"/>
      <c r="CY1146" s="203"/>
      <c r="CZ1146" s="203"/>
      <c r="DA1146" s="203"/>
      <c r="DB1146" s="203"/>
      <c r="DC1146" s="203"/>
      <c r="DD1146" s="203"/>
      <c r="DE1146" s="203"/>
      <c r="DF1146" s="203"/>
      <c r="DG1146" s="203"/>
      <c r="DH1146" s="203"/>
      <c r="DI1146" s="203"/>
      <c r="DJ1146" s="203"/>
      <c r="DK1146" s="203"/>
      <c r="DL1146" s="203"/>
      <c r="DM1146" s="203"/>
      <c r="DN1146" s="203"/>
      <c r="DO1146" s="203"/>
      <c r="DP1146" s="203"/>
      <c r="DQ1146" s="203"/>
      <c r="DR1146" s="203"/>
      <c r="DS1146" s="203"/>
      <c r="DT1146" s="203"/>
      <c r="DU1146" s="203"/>
      <c r="DV1146" s="203"/>
      <c r="DW1146" s="203"/>
      <c r="DX1146" s="203"/>
      <c r="DY1146" s="203"/>
      <c r="DZ1146" s="203"/>
      <c r="EA1146" s="203"/>
      <c r="EB1146" s="203"/>
      <c r="EC1146" s="203"/>
      <c r="ED1146" s="203"/>
      <c r="EE1146" s="203"/>
      <c r="EF1146" s="203"/>
      <c r="EG1146" s="203"/>
      <c r="EH1146" s="203"/>
      <c r="EI1146" s="203"/>
      <c r="EJ1146" s="203"/>
      <c r="EK1146" s="203"/>
      <c r="EL1146" s="203"/>
      <c r="EM1146" s="203"/>
      <c r="EN1146" s="203"/>
      <c r="EO1146" s="203"/>
      <c r="EP1146" s="203"/>
      <c r="EQ1146" s="203"/>
      <c r="ER1146" s="203"/>
      <c r="ES1146" s="203"/>
      <c r="ET1146" s="203"/>
      <c r="EU1146" s="203"/>
      <c r="EV1146" s="203"/>
      <c r="EW1146" s="203"/>
      <c r="EX1146" s="203"/>
      <c r="EY1146" s="203"/>
      <c r="EZ1146" s="203"/>
      <c r="FA1146" s="203"/>
      <c r="FB1146" s="203"/>
      <c r="FC1146" s="203"/>
      <c r="FD1146" s="203"/>
      <c r="FE1146" s="203"/>
      <c r="FF1146" s="203"/>
      <c r="FG1146" s="203"/>
      <c r="FH1146" s="203"/>
      <c r="FI1146" s="203"/>
      <c r="FJ1146" s="203"/>
      <c r="FK1146" s="203"/>
      <c r="FL1146" s="203"/>
      <c r="FM1146" s="203"/>
      <c r="FN1146" s="203"/>
      <c r="FO1146" s="203"/>
      <c r="FP1146" s="203"/>
      <c r="FQ1146" s="203"/>
      <c r="FR1146" s="203"/>
      <c r="FS1146" s="203"/>
      <c r="FT1146" s="203"/>
      <c r="FU1146" s="203"/>
      <c r="FV1146" s="203"/>
      <c r="FW1146" s="203"/>
      <c r="FX1146" s="203"/>
      <c r="FY1146" s="203"/>
      <c r="FZ1146" s="203"/>
      <c r="GA1146" s="203"/>
      <c r="GB1146" s="203"/>
      <c r="GC1146" s="203"/>
      <c r="GD1146" s="203"/>
      <c r="GE1146" s="203"/>
      <c r="GF1146" s="203"/>
    </row>
    <row r="1147" spans="1:188" s="272" customFormat="1" ht="15.75" customHeight="1">
      <c r="A1147" s="384"/>
      <c r="B1147" s="97" t="s">
        <v>1181</v>
      </c>
      <c r="C1147" s="15" t="s">
        <v>1190</v>
      </c>
      <c r="D1147" s="341">
        <v>0</v>
      </c>
      <c r="E1147" s="341"/>
      <c r="F1147" s="385"/>
      <c r="G1147" s="320"/>
      <c r="H1147" s="320"/>
      <c r="I1147" s="320"/>
      <c r="J1147" s="320"/>
      <c r="K1147" s="320"/>
      <c r="L1147" s="384"/>
      <c r="M1147" s="341">
        <v>1</v>
      </c>
      <c r="N1147" s="341"/>
      <c r="O1147" s="341"/>
      <c r="P1147" s="341">
        <v>1</v>
      </c>
      <c r="Q1147" s="270"/>
      <c r="R1147" s="270"/>
      <c r="S1147" s="271"/>
      <c r="T1147" s="203"/>
      <c r="U1147" s="203"/>
      <c r="V1147" s="203"/>
      <c r="W1147" s="203"/>
      <c r="X1147" s="203"/>
      <c r="Y1147" s="203"/>
      <c r="Z1147" s="203"/>
      <c r="AA1147" s="203"/>
      <c r="AB1147" s="203"/>
      <c r="AC1147" s="203"/>
      <c r="AD1147" s="203"/>
      <c r="AE1147" s="203"/>
      <c r="AF1147" s="203"/>
      <c r="AG1147" s="203"/>
      <c r="AH1147" s="203"/>
      <c r="AI1147" s="203"/>
      <c r="AJ1147" s="203"/>
      <c r="AK1147" s="203"/>
      <c r="AL1147" s="203"/>
      <c r="AM1147" s="203"/>
      <c r="AN1147" s="203"/>
      <c r="AO1147" s="203"/>
      <c r="AP1147" s="203"/>
      <c r="AQ1147" s="203"/>
      <c r="AR1147" s="203"/>
      <c r="AS1147" s="203"/>
      <c r="AT1147" s="203"/>
      <c r="AU1147" s="203"/>
      <c r="AV1147" s="203"/>
      <c r="AW1147" s="203"/>
      <c r="AX1147" s="203"/>
      <c r="AY1147" s="203"/>
      <c r="AZ1147" s="203"/>
      <c r="BA1147" s="203"/>
      <c r="BB1147" s="203"/>
      <c r="BC1147" s="203"/>
      <c r="BD1147" s="203"/>
      <c r="BE1147" s="203"/>
      <c r="BF1147" s="203"/>
      <c r="BG1147" s="203"/>
      <c r="BH1147" s="203"/>
      <c r="BI1147" s="203"/>
      <c r="BJ1147" s="203"/>
      <c r="BK1147" s="203"/>
      <c r="BL1147" s="203"/>
      <c r="BM1147" s="203"/>
      <c r="BN1147" s="203"/>
      <c r="BO1147" s="203"/>
      <c r="BP1147" s="203"/>
      <c r="BQ1147" s="203"/>
      <c r="BR1147" s="203"/>
      <c r="BS1147" s="203"/>
      <c r="BT1147" s="203"/>
      <c r="BU1147" s="203"/>
      <c r="BV1147" s="203"/>
      <c r="BW1147" s="203"/>
      <c r="BX1147" s="203"/>
      <c r="BY1147" s="203"/>
      <c r="BZ1147" s="203"/>
      <c r="CA1147" s="203"/>
      <c r="CB1147" s="203"/>
      <c r="CC1147" s="203"/>
      <c r="CD1147" s="203"/>
      <c r="CE1147" s="203"/>
      <c r="CF1147" s="203"/>
      <c r="CG1147" s="203"/>
      <c r="CH1147" s="203"/>
      <c r="CI1147" s="203"/>
      <c r="CJ1147" s="203"/>
      <c r="CK1147" s="203"/>
      <c r="CL1147" s="203"/>
      <c r="CM1147" s="203"/>
      <c r="CN1147" s="203"/>
      <c r="CO1147" s="203"/>
      <c r="CP1147" s="203"/>
      <c r="CQ1147" s="203"/>
      <c r="CR1147" s="203"/>
      <c r="CS1147" s="203"/>
      <c r="CT1147" s="203"/>
      <c r="CU1147" s="203"/>
      <c r="CV1147" s="203"/>
      <c r="CW1147" s="203"/>
      <c r="CX1147" s="203"/>
      <c r="CY1147" s="203"/>
      <c r="CZ1147" s="203"/>
      <c r="DA1147" s="203"/>
      <c r="DB1147" s="203"/>
      <c r="DC1147" s="203"/>
      <c r="DD1147" s="203"/>
      <c r="DE1147" s="203"/>
      <c r="DF1147" s="203"/>
      <c r="DG1147" s="203"/>
      <c r="DH1147" s="203"/>
      <c r="DI1147" s="203"/>
      <c r="DJ1147" s="203"/>
      <c r="DK1147" s="203"/>
      <c r="DL1147" s="203"/>
      <c r="DM1147" s="203"/>
      <c r="DN1147" s="203"/>
      <c r="DO1147" s="203"/>
      <c r="DP1147" s="203"/>
      <c r="DQ1147" s="203"/>
      <c r="DR1147" s="203"/>
      <c r="DS1147" s="203"/>
      <c r="DT1147" s="203"/>
      <c r="DU1147" s="203"/>
      <c r="DV1147" s="203"/>
      <c r="DW1147" s="203"/>
      <c r="DX1147" s="203"/>
      <c r="DY1147" s="203"/>
      <c r="DZ1147" s="203"/>
      <c r="EA1147" s="203"/>
      <c r="EB1147" s="203"/>
      <c r="EC1147" s="203"/>
      <c r="ED1147" s="203"/>
      <c r="EE1147" s="203"/>
      <c r="EF1147" s="203"/>
      <c r="EG1147" s="203"/>
      <c r="EH1147" s="203"/>
      <c r="EI1147" s="203"/>
      <c r="EJ1147" s="203"/>
      <c r="EK1147" s="203"/>
      <c r="EL1147" s="203"/>
      <c r="EM1147" s="203"/>
      <c r="EN1147" s="203"/>
      <c r="EO1147" s="203"/>
      <c r="EP1147" s="203"/>
      <c r="EQ1147" s="203"/>
      <c r="ER1147" s="203"/>
      <c r="ES1147" s="203"/>
      <c r="ET1147" s="203"/>
      <c r="EU1147" s="203"/>
      <c r="EV1147" s="203"/>
      <c r="EW1147" s="203"/>
      <c r="EX1147" s="203"/>
      <c r="EY1147" s="203"/>
      <c r="EZ1147" s="203"/>
      <c r="FA1147" s="203"/>
      <c r="FB1147" s="203"/>
      <c r="FC1147" s="203"/>
      <c r="FD1147" s="203"/>
      <c r="FE1147" s="203"/>
      <c r="FF1147" s="203"/>
      <c r="FG1147" s="203"/>
      <c r="FH1147" s="203"/>
      <c r="FI1147" s="203"/>
      <c r="FJ1147" s="203"/>
      <c r="FK1147" s="203"/>
      <c r="FL1147" s="203"/>
      <c r="FM1147" s="203"/>
      <c r="FN1147" s="203"/>
      <c r="FO1147" s="203"/>
      <c r="FP1147" s="203"/>
      <c r="FQ1147" s="203"/>
      <c r="FR1147" s="203"/>
      <c r="FS1147" s="203"/>
      <c r="FT1147" s="203"/>
      <c r="FU1147" s="203"/>
      <c r="FV1147" s="203"/>
      <c r="FW1147" s="203"/>
      <c r="FX1147" s="203"/>
      <c r="FY1147" s="203"/>
      <c r="FZ1147" s="203"/>
      <c r="GA1147" s="203"/>
      <c r="GB1147" s="203"/>
      <c r="GC1147" s="203"/>
      <c r="GD1147" s="203"/>
      <c r="GE1147" s="203"/>
      <c r="GF1147" s="203"/>
    </row>
    <row r="1148" spans="1:188" s="57" customFormat="1" ht="19.5" customHeight="1">
      <c r="A1148" s="13">
        <v>51</v>
      </c>
      <c r="B1148" s="242" t="s">
        <v>880</v>
      </c>
      <c r="C1148" s="45"/>
      <c r="D1148" s="244"/>
      <c r="E1148" s="244"/>
      <c r="F1148" s="44">
        <v>22</v>
      </c>
      <c r="G1148" s="44">
        <v>24</v>
      </c>
      <c r="H1148" s="44">
        <v>27</v>
      </c>
      <c r="I1148" s="44">
        <v>29</v>
      </c>
      <c r="J1148" s="44"/>
      <c r="K1148" s="44">
        <v>29</v>
      </c>
      <c r="L1148" s="44">
        <f>L1149</f>
        <v>11</v>
      </c>
      <c r="M1148" s="244">
        <f>M1149</f>
        <v>13</v>
      </c>
      <c r="N1148" s="244">
        <f>N1149</f>
        <v>14</v>
      </c>
      <c r="O1148" s="244">
        <f>O1149</f>
        <v>16</v>
      </c>
      <c r="P1148" s="244">
        <f>P1149</f>
        <v>16</v>
      </c>
      <c r="Q1148" s="54" t="s">
        <v>648</v>
      </c>
      <c r="R1148" s="54">
        <v>2</v>
      </c>
      <c r="S1148" s="55" t="s">
        <v>1043</v>
      </c>
      <c r="T1148" s="56"/>
      <c r="U1148" s="56"/>
      <c r="V1148" s="56"/>
      <c r="W1148" s="56"/>
      <c r="X1148" s="56"/>
      <c r="Y1148" s="56"/>
      <c r="Z1148" s="56"/>
      <c r="AA1148" s="56"/>
      <c r="AB1148" s="56"/>
      <c r="AC1148" s="56"/>
      <c r="AD1148" s="56"/>
      <c r="AE1148" s="56"/>
      <c r="AF1148" s="56"/>
      <c r="AG1148" s="56"/>
      <c r="AH1148" s="56"/>
      <c r="AI1148" s="56"/>
      <c r="AJ1148" s="56"/>
      <c r="AK1148" s="56"/>
      <c r="AL1148" s="56"/>
      <c r="AM1148" s="56"/>
      <c r="AN1148" s="56"/>
      <c r="AO1148" s="56"/>
      <c r="AP1148" s="56"/>
      <c r="AQ1148" s="56"/>
      <c r="AR1148" s="56"/>
      <c r="AS1148" s="56"/>
      <c r="AT1148" s="56"/>
      <c r="AU1148" s="56"/>
      <c r="AV1148" s="56"/>
      <c r="AW1148" s="56"/>
      <c r="AX1148" s="56"/>
      <c r="AY1148" s="56"/>
      <c r="AZ1148" s="56"/>
      <c r="BA1148" s="56"/>
      <c r="BB1148" s="56"/>
      <c r="BC1148" s="56"/>
      <c r="BD1148" s="56"/>
      <c r="BE1148" s="56"/>
      <c r="BF1148" s="56"/>
      <c r="BG1148" s="56"/>
      <c r="BH1148" s="56"/>
      <c r="BI1148" s="56"/>
      <c r="BJ1148" s="56"/>
      <c r="BK1148" s="56"/>
      <c r="BL1148" s="56"/>
      <c r="BM1148" s="56"/>
      <c r="BN1148" s="56"/>
      <c r="BO1148" s="56"/>
      <c r="BP1148" s="56"/>
      <c r="BQ1148" s="56"/>
      <c r="BR1148" s="56"/>
      <c r="BS1148" s="56"/>
      <c r="BT1148" s="56"/>
      <c r="BU1148" s="56"/>
      <c r="BV1148" s="56"/>
      <c r="BW1148" s="56"/>
      <c r="BX1148" s="56"/>
      <c r="BY1148" s="56"/>
      <c r="BZ1148" s="56"/>
      <c r="CA1148" s="56"/>
      <c r="CB1148" s="56"/>
      <c r="CC1148" s="56"/>
      <c r="CD1148" s="56"/>
      <c r="CE1148" s="56"/>
      <c r="CF1148" s="56"/>
      <c r="CG1148" s="56"/>
      <c r="CH1148" s="56"/>
      <c r="CI1148" s="56"/>
      <c r="CJ1148" s="56"/>
      <c r="CK1148" s="56"/>
      <c r="CL1148" s="56"/>
      <c r="CM1148" s="56"/>
      <c r="CN1148" s="56"/>
      <c r="CO1148" s="56"/>
      <c r="CP1148" s="56"/>
      <c r="CQ1148" s="56"/>
      <c r="CR1148" s="56"/>
      <c r="CS1148" s="56"/>
      <c r="CT1148" s="56"/>
      <c r="CU1148" s="56"/>
      <c r="CV1148" s="56"/>
      <c r="CW1148" s="56"/>
      <c r="CX1148" s="56"/>
      <c r="CY1148" s="56"/>
      <c r="CZ1148" s="56"/>
      <c r="DA1148" s="56"/>
      <c r="DB1148" s="56"/>
      <c r="DC1148" s="56"/>
      <c r="DD1148" s="56"/>
      <c r="DE1148" s="56"/>
      <c r="DF1148" s="56"/>
      <c r="DG1148" s="56"/>
      <c r="DH1148" s="56"/>
      <c r="DI1148" s="56"/>
      <c r="DJ1148" s="56"/>
      <c r="DK1148" s="56"/>
      <c r="DL1148" s="56"/>
      <c r="DM1148" s="56"/>
      <c r="DN1148" s="56"/>
      <c r="DO1148" s="56"/>
      <c r="DP1148" s="56"/>
      <c r="DQ1148" s="56"/>
      <c r="DR1148" s="56"/>
      <c r="DS1148" s="56"/>
      <c r="DT1148" s="56"/>
      <c r="DU1148" s="56"/>
      <c r="DV1148" s="56"/>
      <c r="DW1148" s="56"/>
      <c r="DX1148" s="56"/>
      <c r="DY1148" s="56"/>
      <c r="DZ1148" s="56"/>
      <c r="EA1148" s="56"/>
      <c r="EB1148" s="56"/>
      <c r="EC1148" s="56"/>
      <c r="ED1148" s="56"/>
      <c r="EE1148" s="56"/>
      <c r="EF1148" s="56"/>
      <c r="EG1148" s="56"/>
      <c r="EH1148" s="56"/>
      <c r="EI1148" s="56"/>
      <c r="EJ1148" s="56"/>
      <c r="EK1148" s="56"/>
      <c r="EL1148" s="56"/>
      <c r="EM1148" s="56"/>
      <c r="EN1148" s="56"/>
      <c r="EO1148" s="56"/>
      <c r="EP1148" s="56"/>
      <c r="EQ1148" s="56"/>
      <c r="ER1148" s="56"/>
      <c r="ES1148" s="56"/>
      <c r="ET1148" s="56"/>
      <c r="EU1148" s="56"/>
      <c r="EV1148" s="56"/>
      <c r="EW1148" s="56"/>
      <c r="EX1148" s="56"/>
      <c r="EY1148" s="56"/>
      <c r="EZ1148" s="56"/>
      <c r="FA1148" s="56"/>
      <c r="FB1148" s="56"/>
      <c r="FC1148" s="56"/>
      <c r="FD1148" s="56"/>
      <c r="FE1148" s="56"/>
      <c r="FF1148" s="56"/>
      <c r="FG1148" s="56"/>
      <c r="FH1148" s="56"/>
      <c r="FI1148" s="56"/>
      <c r="FJ1148" s="56"/>
      <c r="FK1148" s="56"/>
      <c r="FL1148" s="56"/>
      <c r="FM1148" s="56"/>
      <c r="FN1148" s="56"/>
      <c r="FO1148" s="56"/>
      <c r="FP1148" s="56"/>
      <c r="FQ1148" s="56"/>
      <c r="FR1148" s="56"/>
      <c r="FS1148" s="56"/>
      <c r="FT1148" s="56"/>
      <c r="FU1148" s="56"/>
      <c r="FV1148" s="56"/>
      <c r="FW1148" s="56"/>
      <c r="FX1148" s="56"/>
      <c r="FY1148" s="56"/>
      <c r="FZ1148" s="56"/>
      <c r="GA1148" s="56"/>
      <c r="GB1148" s="56"/>
      <c r="GC1148" s="56"/>
      <c r="GD1148" s="56"/>
      <c r="GE1148" s="56"/>
      <c r="GF1148" s="56"/>
    </row>
    <row r="1149" spans="1:57" s="43" customFormat="1" ht="15.75">
      <c r="A1149" s="13"/>
      <c r="B1149" s="93" t="s">
        <v>669</v>
      </c>
      <c r="C1149" s="15"/>
      <c r="D1149" s="40"/>
      <c r="E1149" s="40"/>
      <c r="F1149" s="40"/>
      <c r="G1149" s="40"/>
      <c r="H1149" s="40"/>
      <c r="I1149" s="40"/>
      <c r="J1149" s="40"/>
      <c r="K1149" s="40"/>
      <c r="L1149" s="60">
        <f>SUM(L1150:L1153)</f>
        <v>11</v>
      </c>
      <c r="M1149" s="60">
        <f>SUM(M1150:M1153)</f>
        <v>13</v>
      </c>
      <c r="N1149" s="60">
        <f>SUM(N1150:N1153)</f>
        <v>14</v>
      </c>
      <c r="O1149" s="60">
        <f>SUM(O1150:O1153)</f>
        <v>16</v>
      </c>
      <c r="P1149" s="60">
        <f>SUM(P1150:P1153)</f>
        <v>16</v>
      </c>
      <c r="Q1149" s="70"/>
      <c r="R1149" s="41"/>
      <c r="S1149" s="41"/>
      <c r="T1149" s="46"/>
      <c r="U1149" s="46"/>
      <c r="V1149" s="46"/>
      <c r="W1149" s="46"/>
      <c r="X1149" s="46"/>
      <c r="Y1149" s="46"/>
      <c r="Z1149" s="46"/>
      <c r="AA1149" s="46"/>
      <c r="AB1149" s="46"/>
      <c r="AC1149" s="46"/>
      <c r="AD1149" s="46"/>
      <c r="AE1149" s="46"/>
      <c r="AF1149" s="46"/>
      <c r="AG1149" s="46"/>
      <c r="AH1149" s="46"/>
      <c r="AI1149" s="46"/>
      <c r="AJ1149" s="46"/>
      <c r="AK1149" s="46"/>
      <c r="AL1149" s="46"/>
      <c r="AM1149" s="46"/>
      <c r="AN1149" s="46"/>
      <c r="AO1149" s="46"/>
      <c r="AP1149" s="46"/>
      <c r="AQ1149" s="46"/>
      <c r="AR1149" s="46"/>
      <c r="AS1149" s="46"/>
      <c r="AT1149" s="46"/>
      <c r="AU1149" s="46"/>
      <c r="AV1149" s="46"/>
      <c r="BA1149" s="49"/>
      <c r="BB1149" s="42"/>
      <c r="BC1149" s="42"/>
      <c r="BD1149" s="42"/>
      <c r="BE1149" s="42"/>
    </row>
    <row r="1150" spans="1:57" s="43" customFormat="1" ht="17.25" customHeight="1">
      <c r="A1150" s="13"/>
      <c r="B1150" s="97" t="s">
        <v>1316</v>
      </c>
      <c r="C1150" s="15" t="s">
        <v>1317</v>
      </c>
      <c r="D1150" s="40"/>
      <c r="E1150" s="51"/>
      <c r="F1150" s="40"/>
      <c r="G1150" s="40"/>
      <c r="H1150" s="40"/>
      <c r="I1150" s="40"/>
      <c r="J1150" s="40"/>
      <c r="K1150" s="40"/>
      <c r="L1150" s="40">
        <v>4</v>
      </c>
      <c r="M1150" s="40">
        <v>3</v>
      </c>
      <c r="N1150" s="40">
        <v>3</v>
      </c>
      <c r="O1150" s="40">
        <v>3</v>
      </c>
      <c r="P1150" s="40">
        <v>3</v>
      </c>
      <c r="Q1150" s="70"/>
      <c r="R1150" s="41"/>
      <c r="S1150" s="41"/>
      <c r="T1150" s="46"/>
      <c r="U1150" s="46"/>
      <c r="V1150" s="46"/>
      <c r="W1150" s="46"/>
      <c r="X1150" s="46"/>
      <c r="Y1150" s="46"/>
      <c r="Z1150" s="46"/>
      <c r="AA1150" s="46"/>
      <c r="AB1150" s="46"/>
      <c r="AC1150" s="46"/>
      <c r="AD1150" s="46"/>
      <c r="AE1150" s="46"/>
      <c r="AF1150" s="46"/>
      <c r="AG1150" s="46"/>
      <c r="AH1150" s="46"/>
      <c r="AI1150" s="46"/>
      <c r="AJ1150" s="46"/>
      <c r="AK1150" s="46"/>
      <c r="AL1150" s="46"/>
      <c r="AM1150" s="46"/>
      <c r="AN1150" s="46"/>
      <c r="AO1150" s="46"/>
      <c r="AP1150" s="46"/>
      <c r="AQ1150" s="46"/>
      <c r="AR1150" s="46"/>
      <c r="AS1150" s="46"/>
      <c r="AT1150" s="46"/>
      <c r="AU1150" s="46"/>
      <c r="AV1150" s="46"/>
      <c r="BA1150" s="49"/>
      <c r="BB1150" s="42"/>
      <c r="BC1150" s="42"/>
      <c r="BD1150" s="42"/>
      <c r="BE1150" s="42"/>
    </row>
    <row r="1151" spans="1:57" s="43" customFormat="1" ht="15.75" customHeight="1">
      <c r="A1151" s="13"/>
      <c r="B1151" s="97" t="s">
        <v>414</v>
      </c>
      <c r="C1151" s="15" t="s">
        <v>1026</v>
      </c>
      <c r="D1151" s="40"/>
      <c r="E1151" s="51"/>
      <c r="F1151" s="40"/>
      <c r="G1151" s="40"/>
      <c r="H1151" s="40"/>
      <c r="I1151" s="40"/>
      <c r="J1151" s="40"/>
      <c r="K1151" s="40"/>
      <c r="L1151" s="40">
        <v>4</v>
      </c>
      <c r="M1151" s="40">
        <v>5</v>
      </c>
      <c r="N1151" s="40">
        <v>6</v>
      </c>
      <c r="O1151" s="40">
        <v>6</v>
      </c>
      <c r="P1151" s="40">
        <v>6</v>
      </c>
      <c r="Q1151" s="70"/>
      <c r="R1151" s="41"/>
      <c r="S1151" s="41"/>
      <c r="T1151" s="46"/>
      <c r="U1151" s="46"/>
      <c r="V1151" s="46"/>
      <c r="W1151" s="46"/>
      <c r="X1151" s="46"/>
      <c r="Y1151" s="46"/>
      <c r="Z1151" s="46"/>
      <c r="AA1151" s="46"/>
      <c r="AB1151" s="46"/>
      <c r="AC1151" s="46"/>
      <c r="AD1151" s="46"/>
      <c r="AE1151" s="46"/>
      <c r="AF1151" s="46"/>
      <c r="AG1151" s="46"/>
      <c r="AH1151" s="46"/>
      <c r="AI1151" s="46"/>
      <c r="AJ1151" s="46"/>
      <c r="AK1151" s="46"/>
      <c r="AL1151" s="46"/>
      <c r="AM1151" s="46"/>
      <c r="AN1151" s="46"/>
      <c r="AO1151" s="46"/>
      <c r="AP1151" s="46"/>
      <c r="AQ1151" s="46"/>
      <c r="AR1151" s="46"/>
      <c r="AS1151" s="46"/>
      <c r="AT1151" s="46"/>
      <c r="AU1151" s="46"/>
      <c r="AV1151" s="46"/>
      <c r="BA1151" s="49"/>
      <c r="BB1151" s="42"/>
      <c r="BC1151" s="42"/>
      <c r="BD1151" s="42"/>
      <c r="BE1151" s="42"/>
    </row>
    <row r="1152" spans="1:57" s="43" customFormat="1" ht="15.75" customHeight="1">
      <c r="A1152" s="13"/>
      <c r="B1152" s="97" t="s">
        <v>564</v>
      </c>
      <c r="C1152" s="29" t="s">
        <v>565</v>
      </c>
      <c r="D1152" s="40"/>
      <c r="E1152" s="51"/>
      <c r="F1152" s="40"/>
      <c r="G1152" s="40"/>
      <c r="H1152" s="40"/>
      <c r="I1152" s="40"/>
      <c r="J1152" s="40"/>
      <c r="K1152" s="40"/>
      <c r="L1152" s="40">
        <v>1</v>
      </c>
      <c r="M1152" s="40">
        <v>2</v>
      </c>
      <c r="N1152" s="40">
        <v>2</v>
      </c>
      <c r="O1152" s="40">
        <v>3</v>
      </c>
      <c r="P1152" s="40">
        <v>3</v>
      </c>
      <c r="Q1152" s="70"/>
      <c r="R1152" s="41"/>
      <c r="S1152" s="41"/>
      <c r="T1152" s="46"/>
      <c r="U1152" s="46"/>
      <c r="V1152" s="46"/>
      <c r="W1152" s="46"/>
      <c r="X1152" s="46"/>
      <c r="Y1152" s="46"/>
      <c r="Z1152" s="46"/>
      <c r="AA1152" s="46"/>
      <c r="AB1152" s="46"/>
      <c r="AC1152" s="46"/>
      <c r="AD1152" s="46"/>
      <c r="AE1152" s="46"/>
      <c r="AF1152" s="46"/>
      <c r="AG1152" s="46"/>
      <c r="AH1152" s="46"/>
      <c r="AI1152" s="46"/>
      <c r="AJ1152" s="46"/>
      <c r="AK1152" s="46"/>
      <c r="AL1152" s="46"/>
      <c r="AM1152" s="46"/>
      <c r="AN1152" s="46"/>
      <c r="AO1152" s="46"/>
      <c r="AP1152" s="46"/>
      <c r="AQ1152" s="46"/>
      <c r="AR1152" s="46"/>
      <c r="AS1152" s="46"/>
      <c r="AT1152" s="46"/>
      <c r="AU1152" s="46"/>
      <c r="AV1152" s="46"/>
      <c r="BA1152" s="49"/>
      <c r="BB1152" s="42"/>
      <c r="BC1152" s="42"/>
      <c r="BD1152" s="42"/>
      <c r="BE1152" s="42"/>
    </row>
    <row r="1153" spans="1:57" s="43" customFormat="1" ht="15.75" customHeight="1">
      <c r="A1153" s="13"/>
      <c r="B1153" s="105" t="s">
        <v>421</v>
      </c>
      <c r="C1153" s="15" t="s">
        <v>1315</v>
      </c>
      <c r="D1153" s="40"/>
      <c r="E1153" s="51"/>
      <c r="F1153" s="40"/>
      <c r="G1153" s="40"/>
      <c r="H1153" s="40"/>
      <c r="I1153" s="40"/>
      <c r="J1153" s="40"/>
      <c r="K1153" s="40"/>
      <c r="L1153" s="40">
        <v>2</v>
      </c>
      <c r="M1153" s="40">
        <v>3</v>
      </c>
      <c r="N1153" s="40">
        <v>3</v>
      </c>
      <c r="O1153" s="40">
        <v>4</v>
      </c>
      <c r="P1153" s="40">
        <v>4</v>
      </c>
      <c r="Q1153" s="70"/>
      <c r="R1153" s="41"/>
      <c r="S1153" s="41"/>
      <c r="T1153" s="46"/>
      <c r="U1153" s="46"/>
      <c r="V1153" s="46"/>
      <c r="W1153" s="46"/>
      <c r="X1153" s="46"/>
      <c r="Y1153" s="46"/>
      <c r="Z1153" s="46"/>
      <c r="AA1153" s="46"/>
      <c r="AB1153" s="46"/>
      <c r="AC1153" s="46"/>
      <c r="AD1153" s="46"/>
      <c r="AE1153" s="46"/>
      <c r="AF1153" s="46"/>
      <c r="AG1153" s="46"/>
      <c r="AH1153" s="46"/>
      <c r="AI1153" s="46"/>
      <c r="AJ1153" s="46"/>
      <c r="AK1153" s="46"/>
      <c r="AL1153" s="46"/>
      <c r="AM1153" s="46"/>
      <c r="AN1153" s="46"/>
      <c r="AO1153" s="46"/>
      <c r="AP1153" s="46"/>
      <c r="AQ1153" s="46"/>
      <c r="AR1153" s="46"/>
      <c r="AS1153" s="46"/>
      <c r="AT1153" s="46"/>
      <c r="AU1153" s="46"/>
      <c r="AV1153" s="46"/>
      <c r="BA1153" s="49"/>
      <c r="BB1153" s="42"/>
      <c r="BC1153" s="42"/>
      <c r="BD1153" s="42"/>
      <c r="BE1153" s="42"/>
    </row>
    <row r="1154" spans="1:188" s="57" customFormat="1" ht="18" customHeight="1">
      <c r="A1154" s="13">
        <v>52</v>
      </c>
      <c r="B1154" s="108" t="s">
        <v>330</v>
      </c>
      <c r="C1154" s="45"/>
      <c r="D1154" s="44">
        <v>73</v>
      </c>
      <c r="E1154" s="44">
        <v>18</v>
      </c>
      <c r="F1154" s="44">
        <v>51</v>
      </c>
      <c r="G1154" s="44">
        <v>59</v>
      </c>
      <c r="H1154" s="44">
        <v>65</v>
      </c>
      <c r="I1154" s="44">
        <v>65</v>
      </c>
      <c r="J1154" s="44"/>
      <c r="K1154" s="44">
        <v>81</v>
      </c>
      <c r="L1154" s="44">
        <f>L1155</f>
        <v>2</v>
      </c>
      <c r="M1154" s="44" t="str">
        <f>M1155</f>
        <v> -</v>
      </c>
      <c r="N1154" s="44" t="str">
        <f>N1155</f>
        <v> -</v>
      </c>
      <c r="O1154" s="44" t="str">
        <f>O1155</f>
        <v> -</v>
      </c>
      <c r="P1154" s="44" t="str">
        <f>P1155</f>
        <v> -</v>
      </c>
      <c r="Q1154" s="54" t="s">
        <v>649</v>
      </c>
      <c r="R1154" s="54">
        <v>2</v>
      </c>
      <c r="S1154" s="55" t="s">
        <v>417</v>
      </c>
      <c r="T1154" s="56"/>
      <c r="U1154" s="56"/>
      <c r="V1154" s="56"/>
      <c r="W1154" s="56"/>
      <c r="X1154" s="56"/>
      <c r="Y1154" s="56"/>
      <c r="Z1154" s="56"/>
      <c r="AA1154" s="56"/>
      <c r="AB1154" s="56"/>
      <c r="AC1154" s="56"/>
      <c r="AD1154" s="56"/>
      <c r="AE1154" s="56"/>
      <c r="AF1154" s="56"/>
      <c r="AG1154" s="56"/>
      <c r="AH1154" s="56"/>
      <c r="AI1154" s="56"/>
      <c r="AJ1154" s="56"/>
      <c r="AK1154" s="56"/>
      <c r="AL1154" s="56"/>
      <c r="AM1154" s="56"/>
      <c r="AN1154" s="56"/>
      <c r="AO1154" s="56"/>
      <c r="AP1154" s="56"/>
      <c r="AQ1154" s="56"/>
      <c r="AR1154" s="56"/>
      <c r="AS1154" s="56"/>
      <c r="AT1154" s="56"/>
      <c r="AU1154" s="56"/>
      <c r="AV1154" s="56"/>
      <c r="AW1154" s="56"/>
      <c r="AX1154" s="56"/>
      <c r="AY1154" s="56"/>
      <c r="AZ1154" s="56"/>
      <c r="BA1154" s="56"/>
      <c r="BB1154" s="56"/>
      <c r="BC1154" s="56"/>
      <c r="BD1154" s="56"/>
      <c r="BE1154" s="56"/>
      <c r="BF1154" s="56"/>
      <c r="BG1154" s="56"/>
      <c r="BH1154" s="56"/>
      <c r="BI1154" s="56"/>
      <c r="BJ1154" s="56"/>
      <c r="BK1154" s="56"/>
      <c r="BL1154" s="56"/>
      <c r="BM1154" s="56"/>
      <c r="BN1154" s="56"/>
      <c r="BO1154" s="56"/>
      <c r="BP1154" s="56"/>
      <c r="BQ1154" s="56"/>
      <c r="BR1154" s="56"/>
      <c r="BS1154" s="56"/>
      <c r="BT1154" s="56"/>
      <c r="BU1154" s="56"/>
      <c r="BV1154" s="56"/>
      <c r="BW1154" s="56"/>
      <c r="BX1154" s="56"/>
      <c r="BY1154" s="56"/>
      <c r="BZ1154" s="56"/>
      <c r="CA1154" s="56"/>
      <c r="CB1154" s="56"/>
      <c r="CC1154" s="56"/>
      <c r="CD1154" s="56"/>
      <c r="CE1154" s="56"/>
      <c r="CF1154" s="56"/>
      <c r="CG1154" s="56"/>
      <c r="CH1154" s="56"/>
      <c r="CI1154" s="56"/>
      <c r="CJ1154" s="56"/>
      <c r="CK1154" s="56"/>
      <c r="CL1154" s="56"/>
      <c r="CM1154" s="56"/>
      <c r="CN1154" s="56"/>
      <c r="CO1154" s="56"/>
      <c r="CP1154" s="56"/>
      <c r="CQ1154" s="56"/>
      <c r="CR1154" s="56"/>
      <c r="CS1154" s="56"/>
      <c r="CT1154" s="56"/>
      <c r="CU1154" s="56"/>
      <c r="CV1154" s="56"/>
      <c r="CW1154" s="56"/>
      <c r="CX1154" s="56"/>
      <c r="CY1154" s="56"/>
      <c r="CZ1154" s="56"/>
      <c r="DA1154" s="56"/>
      <c r="DB1154" s="56"/>
      <c r="DC1154" s="56"/>
      <c r="DD1154" s="56"/>
      <c r="DE1154" s="56"/>
      <c r="DF1154" s="56"/>
      <c r="DG1154" s="56"/>
      <c r="DH1154" s="56"/>
      <c r="DI1154" s="56"/>
      <c r="DJ1154" s="56"/>
      <c r="DK1154" s="56"/>
      <c r="DL1154" s="56"/>
      <c r="DM1154" s="56"/>
      <c r="DN1154" s="56"/>
      <c r="DO1154" s="56"/>
      <c r="DP1154" s="56"/>
      <c r="DQ1154" s="56"/>
      <c r="DR1154" s="56"/>
      <c r="DS1154" s="56"/>
      <c r="DT1154" s="56"/>
      <c r="DU1154" s="56"/>
      <c r="DV1154" s="56"/>
      <c r="DW1154" s="56"/>
      <c r="DX1154" s="56"/>
      <c r="DY1154" s="56"/>
      <c r="DZ1154" s="56"/>
      <c r="EA1154" s="56"/>
      <c r="EB1154" s="56"/>
      <c r="EC1154" s="56"/>
      <c r="ED1154" s="56"/>
      <c r="EE1154" s="56"/>
      <c r="EF1154" s="56"/>
      <c r="EG1154" s="56"/>
      <c r="EH1154" s="56"/>
      <c r="EI1154" s="56"/>
      <c r="EJ1154" s="56"/>
      <c r="EK1154" s="56"/>
      <c r="EL1154" s="56"/>
      <c r="EM1154" s="56"/>
      <c r="EN1154" s="56"/>
      <c r="EO1154" s="56"/>
      <c r="EP1154" s="56"/>
      <c r="EQ1154" s="56"/>
      <c r="ER1154" s="56"/>
      <c r="ES1154" s="56"/>
      <c r="ET1154" s="56"/>
      <c r="EU1154" s="56"/>
      <c r="EV1154" s="56"/>
      <c r="EW1154" s="56"/>
      <c r="EX1154" s="56"/>
      <c r="EY1154" s="56"/>
      <c r="EZ1154" s="56"/>
      <c r="FA1154" s="56"/>
      <c r="FB1154" s="56"/>
      <c r="FC1154" s="56"/>
      <c r="FD1154" s="56"/>
      <c r="FE1154" s="56"/>
      <c r="FF1154" s="56"/>
      <c r="FG1154" s="56"/>
      <c r="FH1154" s="56"/>
      <c r="FI1154" s="56"/>
      <c r="FJ1154" s="56"/>
      <c r="FK1154" s="56"/>
      <c r="FL1154" s="56"/>
      <c r="FM1154" s="56"/>
      <c r="FN1154" s="56"/>
      <c r="FO1154" s="56"/>
      <c r="FP1154" s="56"/>
      <c r="FQ1154" s="56"/>
      <c r="FR1154" s="56"/>
      <c r="FS1154" s="56"/>
      <c r="FT1154" s="56"/>
      <c r="FU1154" s="56"/>
      <c r="FV1154" s="56"/>
      <c r="FW1154" s="56"/>
      <c r="FX1154" s="56"/>
      <c r="FY1154" s="56"/>
      <c r="FZ1154" s="56"/>
      <c r="GA1154" s="56"/>
      <c r="GB1154" s="56"/>
      <c r="GC1154" s="56"/>
      <c r="GD1154" s="56"/>
      <c r="GE1154" s="56"/>
      <c r="GF1154" s="56"/>
    </row>
    <row r="1155" spans="1:48" s="18" customFormat="1" ht="18" customHeight="1">
      <c r="A1155" s="50"/>
      <c r="B1155" s="93" t="s">
        <v>669</v>
      </c>
      <c r="C1155" s="16"/>
      <c r="D1155" s="52"/>
      <c r="E1155" s="52"/>
      <c r="F1155" s="52"/>
      <c r="G1155" s="52"/>
      <c r="H1155" s="52"/>
      <c r="I1155" s="52"/>
      <c r="J1155" s="52"/>
      <c r="K1155" s="52"/>
      <c r="L1155" s="60">
        <f>SUM(L1156:L1157)</f>
        <v>2</v>
      </c>
      <c r="M1155" s="60" t="s">
        <v>556</v>
      </c>
      <c r="N1155" s="60" t="s">
        <v>556</v>
      </c>
      <c r="O1155" s="60" t="s">
        <v>556</v>
      </c>
      <c r="P1155" s="60" t="s">
        <v>556</v>
      </c>
      <c r="Q1155" s="23"/>
      <c r="R1155" s="23"/>
      <c r="S1155" s="17"/>
      <c r="T1155" s="47"/>
      <c r="U1155" s="47"/>
      <c r="V1155" s="47"/>
      <c r="W1155" s="47"/>
      <c r="X1155" s="47"/>
      <c r="Y1155" s="47"/>
      <c r="Z1155" s="47"/>
      <c r="AA1155" s="47"/>
      <c r="AB1155" s="47"/>
      <c r="AC1155" s="47"/>
      <c r="AD1155" s="47"/>
      <c r="AE1155" s="47"/>
      <c r="AF1155" s="47"/>
      <c r="AG1155" s="47"/>
      <c r="AH1155" s="47"/>
      <c r="AI1155" s="47"/>
      <c r="AJ1155" s="47"/>
      <c r="AK1155" s="47"/>
      <c r="AL1155" s="47"/>
      <c r="AM1155" s="47"/>
      <c r="AN1155" s="47"/>
      <c r="AO1155" s="47"/>
      <c r="AP1155" s="47"/>
      <c r="AQ1155" s="47"/>
      <c r="AR1155" s="47"/>
      <c r="AS1155" s="47"/>
      <c r="AT1155" s="47"/>
      <c r="AU1155" s="47"/>
      <c r="AV1155" s="47"/>
    </row>
    <row r="1156" spans="1:48" s="27" customFormat="1" ht="18.75" customHeight="1">
      <c r="A1156" s="12"/>
      <c r="B1156" s="97" t="s">
        <v>521</v>
      </c>
      <c r="C1156" s="29" t="s">
        <v>522</v>
      </c>
      <c r="D1156" s="51"/>
      <c r="E1156" s="51"/>
      <c r="F1156" s="51">
        <v>2</v>
      </c>
      <c r="G1156" s="51">
        <v>2</v>
      </c>
      <c r="H1156" s="51">
        <v>4</v>
      </c>
      <c r="I1156" s="51">
        <v>4</v>
      </c>
      <c r="J1156" s="51"/>
      <c r="K1156" s="51">
        <v>4</v>
      </c>
      <c r="L1156" s="40">
        <v>1</v>
      </c>
      <c r="M1156" s="40" t="s">
        <v>556</v>
      </c>
      <c r="N1156" s="40" t="s">
        <v>556</v>
      </c>
      <c r="O1156" s="40" t="s">
        <v>556</v>
      </c>
      <c r="P1156" s="40" t="s">
        <v>556</v>
      </c>
      <c r="Q1156" s="33"/>
      <c r="R1156" s="33"/>
      <c r="S1156" s="33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</row>
    <row r="1157" spans="1:187" s="5" customFormat="1" ht="18" customHeight="1">
      <c r="A1157" s="12"/>
      <c r="B1157" s="105" t="s">
        <v>421</v>
      </c>
      <c r="C1157" s="15" t="s">
        <v>1315</v>
      </c>
      <c r="D1157" s="40"/>
      <c r="E1157" s="40"/>
      <c r="F1157" s="40">
        <v>32</v>
      </c>
      <c r="G1157" s="40">
        <v>37</v>
      </c>
      <c r="H1157" s="40">
        <v>39</v>
      </c>
      <c r="I1157" s="40">
        <v>39</v>
      </c>
      <c r="J1157" s="40"/>
      <c r="K1157" s="40">
        <v>51</v>
      </c>
      <c r="L1157" s="40">
        <v>1</v>
      </c>
      <c r="M1157" s="40" t="s">
        <v>556</v>
      </c>
      <c r="N1157" s="40" t="s">
        <v>556</v>
      </c>
      <c r="O1157" s="40" t="s">
        <v>556</v>
      </c>
      <c r="P1157" s="40" t="s">
        <v>556</v>
      </c>
      <c r="Q1157" s="22"/>
      <c r="R1157" s="22"/>
      <c r="S1157" s="31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  <c r="BK1157" s="4"/>
      <c r="BL1157" s="4"/>
      <c r="BM1157" s="4"/>
      <c r="BN1157" s="4"/>
      <c r="BO1157" s="4"/>
      <c r="BP1157" s="4"/>
      <c r="BQ1157" s="4"/>
      <c r="BR1157" s="4"/>
      <c r="BS1157" s="4"/>
      <c r="BT1157" s="4"/>
      <c r="BU1157" s="4"/>
      <c r="BV1157" s="4"/>
      <c r="BW1157" s="4"/>
      <c r="BX1157" s="4"/>
      <c r="BY1157" s="4"/>
      <c r="BZ1157" s="4"/>
      <c r="CA1157" s="4"/>
      <c r="CB1157" s="4"/>
      <c r="CC1157" s="4"/>
      <c r="CD1157" s="4"/>
      <c r="CE1157" s="4"/>
      <c r="CF1157" s="4"/>
      <c r="CG1157" s="4"/>
      <c r="CH1157" s="4"/>
      <c r="CI1157" s="4"/>
      <c r="CJ1157" s="4"/>
      <c r="CK1157" s="4"/>
      <c r="CL1157" s="4"/>
      <c r="CM1157" s="4"/>
      <c r="CN1157" s="4"/>
      <c r="CO1157" s="4"/>
      <c r="CP1157" s="4"/>
      <c r="CQ1157" s="4"/>
      <c r="CR1157" s="4"/>
      <c r="CS1157" s="4"/>
      <c r="CT1157" s="4"/>
      <c r="CU1157" s="4"/>
      <c r="CV1157" s="4"/>
      <c r="CW1157" s="4"/>
      <c r="CX1157" s="4"/>
      <c r="CY1157" s="4"/>
      <c r="CZ1157" s="4"/>
      <c r="DA1157" s="4"/>
      <c r="DB1157" s="4"/>
      <c r="DC1157" s="4"/>
      <c r="DD1157" s="4"/>
      <c r="DE1157" s="4"/>
      <c r="DF1157" s="4"/>
      <c r="DG1157" s="4"/>
      <c r="DH1157" s="4"/>
      <c r="DI1157" s="4"/>
      <c r="DJ1157" s="4"/>
      <c r="DK1157" s="4"/>
      <c r="DL1157" s="4"/>
      <c r="DM1157" s="4"/>
      <c r="DN1157" s="4"/>
      <c r="DO1157" s="4"/>
      <c r="DP1157" s="4"/>
      <c r="DQ1157" s="4"/>
      <c r="DR1157" s="4"/>
      <c r="DS1157" s="4"/>
      <c r="DT1157" s="4"/>
      <c r="DU1157" s="4"/>
      <c r="DV1157" s="4"/>
      <c r="DW1157" s="4"/>
      <c r="DX1157" s="4"/>
      <c r="DY1157" s="4"/>
      <c r="DZ1157" s="4"/>
      <c r="EA1157" s="4"/>
      <c r="EB1157" s="4"/>
      <c r="EC1157" s="4"/>
      <c r="ED1157" s="4"/>
      <c r="EE1157" s="4"/>
      <c r="EF1157" s="4"/>
      <c r="EG1157" s="4"/>
      <c r="EH1157" s="4"/>
      <c r="EI1157" s="4"/>
      <c r="EJ1157" s="4"/>
      <c r="EK1157" s="4"/>
      <c r="EL1157" s="4"/>
      <c r="EM1157" s="4"/>
      <c r="EN1157" s="4"/>
      <c r="EO1157" s="4"/>
      <c r="EP1157" s="4"/>
      <c r="EQ1157" s="4"/>
      <c r="ER1157" s="4"/>
      <c r="ES1157" s="4"/>
      <c r="ET1157" s="4"/>
      <c r="EU1157" s="4"/>
      <c r="EV1157" s="4"/>
      <c r="EW1157" s="4"/>
      <c r="EX1157" s="4"/>
      <c r="EY1157" s="4"/>
      <c r="EZ1157" s="4"/>
      <c r="FA1157" s="4"/>
      <c r="FB1157" s="4"/>
      <c r="FC1157" s="4"/>
      <c r="FD1157" s="4"/>
      <c r="FE1157" s="4"/>
      <c r="FF1157" s="4"/>
      <c r="FG1157" s="4"/>
      <c r="FH1157" s="4"/>
      <c r="FI1157" s="4"/>
      <c r="FJ1157" s="4"/>
      <c r="FK1157" s="4"/>
      <c r="FL1157" s="4"/>
      <c r="FM1157" s="4"/>
      <c r="FN1157" s="4"/>
      <c r="FO1157" s="4"/>
      <c r="FP1157" s="4"/>
      <c r="FQ1157" s="4"/>
      <c r="FR1157" s="4"/>
      <c r="FS1157" s="4"/>
      <c r="FT1157" s="4"/>
      <c r="FU1157" s="4"/>
      <c r="FV1157" s="4"/>
      <c r="FW1157" s="4"/>
      <c r="FX1157" s="4"/>
      <c r="FY1157" s="4"/>
      <c r="FZ1157" s="4"/>
      <c r="GA1157" s="4"/>
      <c r="GB1157" s="4"/>
      <c r="GC1157" s="4"/>
      <c r="GD1157" s="4"/>
      <c r="GE1157" s="4"/>
    </row>
    <row r="1158" spans="1:188" s="57" customFormat="1" ht="16.5" customHeight="1">
      <c r="A1158" s="13">
        <v>53</v>
      </c>
      <c r="B1158" s="92" t="s">
        <v>760</v>
      </c>
      <c r="C1158" s="45"/>
      <c r="D1158" s="44">
        <v>62</v>
      </c>
      <c r="E1158" s="44">
        <v>6</v>
      </c>
      <c r="F1158" s="44"/>
      <c r="G1158" s="44">
        <v>70</v>
      </c>
      <c r="H1158" s="44">
        <v>75</v>
      </c>
      <c r="I1158" s="44">
        <v>75</v>
      </c>
      <c r="J1158" s="44">
        <v>77</v>
      </c>
      <c r="K1158" s="44">
        <v>77</v>
      </c>
      <c r="L1158" s="44">
        <f>SUM(L1159,L1162)</f>
        <v>8</v>
      </c>
      <c r="M1158" s="44">
        <f>SUM(M1159,M1162)</f>
        <v>13</v>
      </c>
      <c r="N1158" s="44">
        <f>SUM(N1159,N1162)</f>
        <v>13</v>
      </c>
      <c r="O1158" s="44">
        <f>SUM(O1159,O1162)</f>
        <v>16</v>
      </c>
      <c r="P1158" s="44">
        <f>SUM(P1159,P1162)</f>
        <v>16</v>
      </c>
      <c r="Q1158" s="54" t="s">
        <v>648</v>
      </c>
      <c r="R1158" s="54">
        <v>2</v>
      </c>
      <c r="S1158" s="55" t="s">
        <v>443</v>
      </c>
      <c r="T1158" s="56"/>
      <c r="U1158" s="56"/>
      <c r="V1158" s="56"/>
      <c r="W1158" s="56"/>
      <c r="X1158" s="56"/>
      <c r="Y1158" s="56"/>
      <c r="Z1158" s="56"/>
      <c r="AA1158" s="56"/>
      <c r="AB1158" s="56"/>
      <c r="AC1158" s="56"/>
      <c r="AD1158" s="56"/>
      <c r="AE1158" s="56"/>
      <c r="AF1158" s="56"/>
      <c r="AG1158" s="56"/>
      <c r="AH1158" s="56"/>
      <c r="AI1158" s="56"/>
      <c r="AJ1158" s="56"/>
      <c r="AK1158" s="56"/>
      <c r="AL1158" s="56"/>
      <c r="AM1158" s="56"/>
      <c r="AN1158" s="56"/>
      <c r="AO1158" s="56"/>
      <c r="AP1158" s="56"/>
      <c r="AQ1158" s="56"/>
      <c r="AR1158" s="56"/>
      <c r="AS1158" s="56"/>
      <c r="AT1158" s="56"/>
      <c r="AU1158" s="56"/>
      <c r="AV1158" s="56"/>
      <c r="AW1158" s="56"/>
      <c r="AX1158" s="56"/>
      <c r="AY1158" s="56"/>
      <c r="AZ1158" s="56"/>
      <c r="BA1158" s="56"/>
      <c r="BB1158" s="56"/>
      <c r="BC1158" s="56"/>
      <c r="BD1158" s="56"/>
      <c r="BE1158" s="56"/>
      <c r="BF1158" s="56"/>
      <c r="BG1158" s="56"/>
      <c r="BH1158" s="56"/>
      <c r="BI1158" s="56"/>
      <c r="BJ1158" s="56"/>
      <c r="BK1158" s="56"/>
      <c r="BL1158" s="56"/>
      <c r="BM1158" s="56"/>
      <c r="BN1158" s="56"/>
      <c r="BO1158" s="56"/>
      <c r="BP1158" s="56"/>
      <c r="BQ1158" s="56"/>
      <c r="BR1158" s="56"/>
      <c r="BS1158" s="56"/>
      <c r="BT1158" s="56"/>
      <c r="BU1158" s="56"/>
      <c r="BV1158" s="56"/>
      <c r="BW1158" s="56"/>
      <c r="BX1158" s="56"/>
      <c r="BY1158" s="56"/>
      <c r="BZ1158" s="56"/>
      <c r="CA1158" s="56"/>
      <c r="CB1158" s="56"/>
      <c r="CC1158" s="56"/>
      <c r="CD1158" s="56"/>
      <c r="CE1158" s="56"/>
      <c r="CF1158" s="56"/>
      <c r="CG1158" s="56"/>
      <c r="CH1158" s="56"/>
      <c r="CI1158" s="56"/>
      <c r="CJ1158" s="56"/>
      <c r="CK1158" s="56"/>
      <c r="CL1158" s="56"/>
      <c r="CM1158" s="56"/>
      <c r="CN1158" s="56"/>
      <c r="CO1158" s="56"/>
      <c r="CP1158" s="56"/>
      <c r="CQ1158" s="56"/>
      <c r="CR1158" s="56"/>
      <c r="CS1158" s="56"/>
      <c r="CT1158" s="56"/>
      <c r="CU1158" s="56"/>
      <c r="CV1158" s="56"/>
      <c r="CW1158" s="56"/>
      <c r="CX1158" s="56"/>
      <c r="CY1158" s="56"/>
      <c r="CZ1158" s="56"/>
      <c r="DA1158" s="56"/>
      <c r="DB1158" s="56"/>
      <c r="DC1158" s="56"/>
      <c r="DD1158" s="56"/>
      <c r="DE1158" s="56"/>
      <c r="DF1158" s="56"/>
      <c r="DG1158" s="56"/>
      <c r="DH1158" s="56"/>
      <c r="DI1158" s="56"/>
      <c r="DJ1158" s="56"/>
      <c r="DK1158" s="56"/>
      <c r="DL1158" s="56"/>
      <c r="DM1158" s="56"/>
      <c r="DN1158" s="56"/>
      <c r="DO1158" s="56"/>
      <c r="DP1158" s="56"/>
      <c r="DQ1158" s="56"/>
      <c r="DR1158" s="56"/>
      <c r="DS1158" s="56"/>
      <c r="DT1158" s="56"/>
      <c r="DU1158" s="56"/>
      <c r="DV1158" s="56"/>
      <c r="DW1158" s="56"/>
      <c r="DX1158" s="56"/>
      <c r="DY1158" s="56"/>
      <c r="DZ1158" s="56"/>
      <c r="EA1158" s="56"/>
      <c r="EB1158" s="56"/>
      <c r="EC1158" s="56"/>
      <c r="ED1158" s="56"/>
      <c r="EE1158" s="56"/>
      <c r="EF1158" s="56"/>
      <c r="EG1158" s="56"/>
      <c r="EH1158" s="56"/>
      <c r="EI1158" s="56"/>
      <c r="EJ1158" s="56"/>
      <c r="EK1158" s="56"/>
      <c r="EL1158" s="56"/>
      <c r="EM1158" s="56"/>
      <c r="EN1158" s="56"/>
      <c r="EO1158" s="56"/>
      <c r="EP1158" s="56"/>
      <c r="EQ1158" s="56"/>
      <c r="ER1158" s="56"/>
      <c r="ES1158" s="56"/>
      <c r="ET1158" s="56"/>
      <c r="EU1158" s="56"/>
      <c r="EV1158" s="56"/>
      <c r="EW1158" s="56"/>
      <c r="EX1158" s="56"/>
      <c r="EY1158" s="56"/>
      <c r="EZ1158" s="56"/>
      <c r="FA1158" s="56"/>
      <c r="FB1158" s="56"/>
      <c r="FC1158" s="56"/>
      <c r="FD1158" s="56"/>
      <c r="FE1158" s="56"/>
      <c r="FF1158" s="56"/>
      <c r="FG1158" s="56"/>
      <c r="FH1158" s="56"/>
      <c r="FI1158" s="56"/>
      <c r="FJ1158" s="56"/>
      <c r="FK1158" s="56"/>
      <c r="FL1158" s="56"/>
      <c r="FM1158" s="56"/>
      <c r="FN1158" s="56"/>
      <c r="FO1158" s="56"/>
      <c r="FP1158" s="56"/>
      <c r="FQ1158" s="56"/>
      <c r="FR1158" s="56"/>
      <c r="FS1158" s="56"/>
      <c r="FT1158" s="56"/>
      <c r="FU1158" s="56"/>
      <c r="FV1158" s="56"/>
      <c r="FW1158" s="56"/>
      <c r="FX1158" s="56"/>
      <c r="FY1158" s="56"/>
      <c r="FZ1158" s="56"/>
      <c r="GA1158" s="56"/>
      <c r="GB1158" s="56"/>
      <c r="GC1158" s="56"/>
      <c r="GD1158" s="56"/>
      <c r="GE1158" s="56"/>
      <c r="GF1158" s="56"/>
    </row>
    <row r="1159" spans="1:48" s="18" customFormat="1" ht="16.5" customHeight="1">
      <c r="A1159" s="50"/>
      <c r="B1159" s="93" t="s">
        <v>669</v>
      </c>
      <c r="C1159" s="16"/>
      <c r="D1159" s="52"/>
      <c r="E1159" s="52"/>
      <c r="F1159" s="52"/>
      <c r="G1159" s="52"/>
      <c r="H1159" s="52"/>
      <c r="I1159" s="52"/>
      <c r="J1159" s="52"/>
      <c r="K1159" s="52"/>
      <c r="L1159" s="60">
        <f>SUM(L1160:L1161)</f>
        <v>6</v>
      </c>
      <c r="M1159" s="60">
        <f>SUM(M1160:M1161)</f>
        <v>12</v>
      </c>
      <c r="N1159" s="60">
        <f>SUM(N1160:N1161)</f>
        <v>12</v>
      </c>
      <c r="O1159" s="60">
        <f>SUM(O1160:O1161)</f>
        <v>15</v>
      </c>
      <c r="P1159" s="60">
        <f>SUM(P1160:P1161)</f>
        <v>15</v>
      </c>
      <c r="Q1159" s="256" t="e">
        <f>SUM(#REF!)</f>
        <v>#REF!</v>
      </c>
      <c r="R1159" s="100" t="e">
        <f>SUM(#REF!)</f>
        <v>#REF!</v>
      </c>
      <c r="S1159" s="100" t="e">
        <f>SUM(#REF!)</f>
        <v>#REF!</v>
      </c>
      <c r="T1159" s="47"/>
      <c r="U1159" s="47"/>
      <c r="V1159" s="47"/>
      <c r="W1159" s="47"/>
      <c r="X1159" s="47"/>
      <c r="Y1159" s="47"/>
      <c r="Z1159" s="47"/>
      <c r="AA1159" s="47"/>
      <c r="AB1159" s="47"/>
      <c r="AC1159" s="47"/>
      <c r="AD1159" s="47"/>
      <c r="AE1159" s="47"/>
      <c r="AF1159" s="47"/>
      <c r="AG1159" s="47"/>
      <c r="AH1159" s="47"/>
      <c r="AI1159" s="47"/>
      <c r="AJ1159" s="47"/>
      <c r="AK1159" s="47"/>
      <c r="AL1159" s="47"/>
      <c r="AM1159" s="47"/>
      <c r="AN1159" s="47"/>
      <c r="AO1159" s="47"/>
      <c r="AP1159" s="47"/>
      <c r="AQ1159" s="47"/>
      <c r="AR1159" s="47"/>
      <c r="AS1159" s="47"/>
      <c r="AT1159" s="47"/>
      <c r="AU1159" s="47"/>
      <c r="AV1159" s="47"/>
    </row>
    <row r="1160" spans="1:48" s="27" customFormat="1" ht="16.5" customHeight="1">
      <c r="A1160" s="12"/>
      <c r="B1160" s="97" t="s">
        <v>599</v>
      </c>
      <c r="C1160" s="15" t="s">
        <v>600</v>
      </c>
      <c r="D1160" s="51"/>
      <c r="E1160" s="40"/>
      <c r="F1160" s="40"/>
      <c r="G1160" s="40"/>
      <c r="H1160" s="40"/>
      <c r="I1160" s="40"/>
      <c r="J1160" s="40"/>
      <c r="K1160" s="40"/>
      <c r="L1160" s="40">
        <v>1</v>
      </c>
      <c r="M1160" s="40">
        <v>1</v>
      </c>
      <c r="N1160" s="40">
        <v>1</v>
      </c>
      <c r="O1160" s="40">
        <v>1</v>
      </c>
      <c r="P1160" s="40">
        <v>1</v>
      </c>
      <c r="Q1160" s="30"/>
      <c r="R1160" s="30"/>
      <c r="S1160" s="30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</row>
    <row r="1161" spans="1:48" s="27" customFormat="1" ht="16.5" customHeight="1">
      <c r="A1161" s="12"/>
      <c r="B1161" s="97" t="s">
        <v>799</v>
      </c>
      <c r="C1161" s="29" t="s">
        <v>589</v>
      </c>
      <c r="D1161" s="51"/>
      <c r="E1161" s="40"/>
      <c r="F1161" s="40"/>
      <c r="G1161" s="40"/>
      <c r="H1161" s="40"/>
      <c r="I1161" s="40"/>
      <c r="J1161" s="40"/>
      <c r="K1161" s="40"/>
      <c r="L1161" s="40">
        <v>5</v>
      </c>
      <c r="M1161" s="40">
        <v>11</v>
      </c>
      <c r="N1161" s="40">
        <v>11</v>
      </c>
      <c r="O1161" s="40">
        <v>14</v>
      </c>
      <c r="P1161" s="40">
        <v>14</v>
      </c>
      <c r="Q1161" s="30"/>
      <c r="R1161" s="30"/>
      <c r="S1161" s="30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</row>
    <row r="1162" spans="1:48" s="18" customFormat="1" ht="16.5" customHeight="1">
      <c r="A1162" s="50"/>
      <c r="B1162" s="93" t="s">
        <v>37</v>
      </c>
      <c r="C1162" s="16"/>
      <c r="D1162" s="52"/>
      <c r="E1162" s="51"/>
      <c r="F1162" s="52"/>
      <c r="G1162" s="52"/>
      <c r="H1162" s="52"/>
      <c r="I1162" s="52"/>
      <c r="J1162" s="52"/>
      <c r="K1162" s="52"/>
      <c r="L1162" s="60">
        <f>L1163</f>
        <v>2</v>
      </c>
      <c r="M1162" s="60">
        <f>M1163</f>
        <v>1</v>
      </c>
      <c r="N1162" s="60">
        <v>1</v>
      </c>
      <c r="O1162" s="60">
        <f>O1163</f>
        <v>1</v>
      </c>
      <c r="P1162" s="60">
        <f>P1163</f>
        <v>1</v>
      </c>
      <c r="T1162" s="47"/>
      <c r="U1162" s="47"/>
      <c r="V1162" s="47"/>
      <c r="W1162" s="47"/>
      <c r="X1162" s="47"/>
      <c r="Y1162" s="47"/>
      <c r="Z1162" s="47"/>
      <c r="AA1162" s="47"/>
      <c r="AB1162" s="47"/>
      <c r="AC1162" s="47"/>
      <c r="AD1162" s="47"/>
      <c r="AE1162" s="47"/>
      <c r="AF1162" s="47"/>
      <c r="AG1162" s="47"/>
      <c r="AH1162" s="47"/>
      <c r="AI1162" s="47"/>
      <c r="AJ1162" s="47"/>
      <c r="AK1162" s="47"/>
      <c r="AL1162" s="47"/>
      <c r="AM1162" s="47"/>
      <c r="AN1162" s="47"/>
      <c r="AO1162" s="47"/>
      <c r="AP1162" s="47"/>
      <c r="AQ1162" s="47"/>
      <c r="AR1162" s="47"/>
      <c r="AS1162" s="47"/>
      <c r="AT1162" s="47"/>
      <c r="AU1162" s="47"/>
      <c r="AV1162" s="47"/>
    </row>
    <row r="1163" spans="1:48" s="27" customFormat="1" ht="16.5" customHeight="1">
      <c r="A1163" s="12"/>
      <c r="B1163" s="105" t="s">
        <v>934</v>
      </c>
      <c r="C1163" s="15" t="s">
        <v>935</v>
      </c>
      <c r="D1163" s="51"/>
      <c r="E1163" s="51"/>
      <c r="F1163" s="51"/>
      <c r="G1163" s="51"/>
      <c r="H1163" s="51"/>
      <c r="I1163" s="51"/>
      <c r="J1163" s="51"/>
      <c r="K1163" s="51"/>
      <c r="L1163" s="40">
        <v>2</v>
      </c>
      <c r="M1163" s="40">
        <v>1</v>
      </c>
      <c r="N1163" s="40">
        <v>1</v>
      </c>
      <c r="O1163" s="40">
        <v>1</v>
      </c>
      <c r="P1163" s="40">
        <v>1</v>
      </c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</row>
    <row r="1164" spans="1:188" s="57" customFormat="1" ht="16.5" customHeight="1">
      <c r="A1164" s="13">
        <v>54</v>
      </c>
      <c r="B1164" s="92" t="s">
        <v>252</v>
      </c>
      <c r="C1164" s="45"/>
      <c r="D1164" s="44">
        <v>71</v>
      </c>
      <c r="E1164" s="44">
        <v>7</v>
      </c>
      <c r="F1164" s="44"/>
      <c r="G1164" s="44">
        <v>75</v>
      </c>
      <c r="H1164" s="44">
        <v>77</v>
      </c>
      <c r="I1164" s="44">
        <v>80</v>
      </c>
      <c r="J1164" s="44">
        <v>80</v>
      </c>
      <c r="K1164" s="44">
        <v>80</v>
      </c>
      <c r="L1164" s="44">
        <f>L1165</f>
        <v>4</v>
      </c>
      <c r="M1164" s="44">
        <f>M1165</f>
        <v>6</v>
      </c>
      <c r="N1164" s="44">
        <f>N1165</f>
        <v>9</v>
      </c>
      <c r="O1164" s="44">
        <f>O1165</f>
        <v>9</v>
      </c>
      <c r="P1164" s="44">
        <f>P1165</f>
        <v>9</v>
      </c>
      <c r="Q1164" s="54" t="s">
        <v>648</v>
      </c>
      <c r="R1164" s="54">
        <v>2</v>
      </c>
      <c r="S1164" s="55" t="s">
        <v>443</v>
      </c>
      <c r="T1164" s="56"/>
      <c r="U1164" s="56"/>
      <c r="V1164" s="56"/>
      <c r="W1164" s="56"/>
      <c r="X1164" s="56"/>
      <c r="Y1164" s="56"/>
      <c r="Z1164" s="56"/>
      <c r="AA1164" s="56"/>
      <c r="AB1164" s="56"/>
      <c r="AC1164" s="56"/>
      <c r="AD1164" s="56"/>
      <c r="AE1164" s="56"/>
      <c r="AF1164" s="56"/>
      <c r="AG1164" s="56"/>
      <c r="AH1164" s="56"/>
      <c r="AI1164" s="56"/>
      <c r="AJ1164" s="56"/>
      <c r="AK1164" s="56"/>
      <c r="AL1164" s="56"/>
      <c r="AM1164" s="56"/>
      <c r="AN1164" s="56"/>
      <c r="AO1164" s="56"/>
      <c r="AP1164" s="56"/>
      <c r="AQ1164" s="56"/>
      <c r="AR1164" s="56"/>
      <c r="AS1164" s="56"/>
      <c r="AT1164" s="56"/>
      <c r="AU1164" s="56"/>
      <c r="AV1164" s="56"/>
      <c r="AW1164" s="56"/>
      <c r="AX1164" s="56"/>
      <c r="AY1164" s="56"/>
      <c r="AZ1164" s="56"/>
      <c r="BA1164" s="56"/>
      <c r="BB1164" s="56"/>
      <c r="BC1164" s="56"/>
      <c r="BD1164" s="56"/>
      <c r="BE1164" s="56"/>
      <c r="BF1164" s="56"/>
      <c r="BG1164" s="56"/>
      <c r="BH1164" s="56"/>
      <c r="BI1164" s="56"/>
      <c r="BJ1164" s="56"/>
      <c r="BK1164" s="56"/>
      <c r="BL1164" s="56"/>
      <c r="BM1164" s="56"/>
      <c r="BN1164" s="56"/>
      <c r="BO1164" s="56"/>
      <c r="BP1164" s="56"/>
      <c r="BQ1164" s="56"/>
      <c r="BR1164" s="56"/>
      <c r="BS1164" s="56"/>
      <c r="BT1164" s="56"/>
      <c r="BU1164" s="56"/>
      <c r="BV1164" s="56"/>
      <c r="BW1164" s="56"/>
      <c r="BX1164" s="56"/>
      <c r="BY1164" s="56"/>
      <c r="BZ1164" s="56"/>
      <c r="CA1164" s="56"/>
      <c r="CB1164" s="56"/>
      <c r="CC1164" s="56"/>
      <c r="CD1164" s="56"/>
      <c r="CE1164" s="56"/>
      <c r="CF1164" s="56"/>
      <c r="CG1164" s="56"/>
      <c r="CH1164" s="56"/>
      <c r="CI1164" s="56"/>
      <c r="CJ1164" s="56"/>
      <c r="CK1164" s="56"/>
      <c r="CL1164" s="56"/>
      <c r="CM1164" s="56"/>
      <c r="CN1164" s="56"/>
      <c r="CO1164" s="56"/>
      <c r="CP1164" s="56"/>
      <c r="CQ1164" s="56"/>
      <c r="CR1164" s="56"/>
      <c r="CS1164" s="56"/>
      <c r="CT1164" s="56"/>
      <c r="CU1164" s="56"/>
      <c r="CV1164" s="56"/>
      <c r="CW1164" s="56"/>
      <c r="CX1164" s="56"/>
      <c r="CY1164" s="56"/>
      <c r="CZ1164" s="56"/>
      <c r="DA1164" s="56"/>
      <c r="DB1164" s="56"/>
      <c r="DC1164" s="56"/>
      <c r="DD1164" s="56"/>
      <c r="DE1164" s="56"/>
      <c r="DF1164" s="56"/>
      <c r="DG1164" s="56"/>
      <c r="DH1164" s="56"/>
      <c r="DI1164" s="56"/>
      <c r="DJ1164" s="56"/>
      <c r="DK1164" s="56"/>
      <c r="DL1164" s="56"/>
      <c r="DM1164" s="56"/>
      <c r="DN1164" s="56"/>
      <c r="DO1164" s="56"/>
      <c r="DP1164" s="56"/>
      <c r="DQ1164" s="56"/>
      <c r="DR1164" s="56"/>
      <c r="DS1164" s="56"/>
      <c r="DT1164" s="56"/>
      <c r="DU1164" s="56"/>
      <c r="DV1164" s="56"/>
      <c r="DW1164" s="56"/>
      <c r="DX1164" s="56"/>
      <c r="DY1164" s="56"/>
      <c r="DZ1164" s="56"/>
      <c r="EA1164" s="56"/>
      <c r="EB1164" s="56"/>
      <c r="EC1164" s="56"/>
      <c r="ED1164" s="56"/>
      <c r="EE1164" s="56"/>
      <c r="EF1164" s="56"/>
      <c r="EG1164" s="56"/>
      <c r="EH1164" s="56"/>
      <c r="EI1164" s="56"/>
      <c r="EJ1164" s="56"/>
      <c r="EK1164" s="56"/>
      <c r="EL1164" s="56"/>
      <c r="EM1164" s="56"/>
      <c r="EN1164" s="56"/>
      <c r="EO1164" s="56"/>
      <c r="EP1164" s="56"/>
      <c r="EQ1164" s="56"/>
      <c r="ER1164" s="56"/>
      <c r="ES1164" s="56"/>
      <c r="ET1164" s="56"/>
      <c r="EU1164" s="56"/>
      <c r="EV1164" s="56"/>
      <c r="EW1164" s="56"/>
      <c r="EX1164" s="56"/>
      <c r="EY1164" s="56"/>
      <c r="EZ1164" s="56"/>
      <c r="FA1164" s="56"/>
      <c r="FB1164" s="56"/>
      <c r="FC1164" s="56"/>
      <c r="FD1164" s="56"/>
      <c r="FE1164" s="56"/>
      <c r="FF1164" s="56"/>
      <c r="FG1164" s="56"/>
      <c r="FH1164" s="56"/>
      <c r="FI1164" s="56"/>
      <c r="FJ1164" s="56"/>
      <c r="FK1164" s="56"/>
      <c r="FL1164" s="56"/>
      <c r="FM1164" s="56"/>
      <c r="FN1164" s="56"/>
      <c r="FO1164" s="56"/>
      <c r="FP1164" s="56"/>
      <c r="FQ1164" s="56"/>
      <c r="FR1164" s="56"/>
      <c r="FS1164" s="56"/>
      <c r="FT1164" s="56"/>
      <c r="FU1164" s="56"/>
      <c r="FV1164" s="56"/>
      <c r="FW1164" s="56"/>
      <c r="FX1164" s="56"/>
      <c r="FY1164" s="56"/>
      <c r="FZ1164" s="56"/>
      <c r="GA1164" s="56"/>
      <c r="GB1164" s="56"/>
      <c r="GC1164" s="56"/>
      <c r="GD1164" s="56"/>
      <c r="GE1164" s="56"/>
      <c r="GF1164" s="56"/>
    </row>
    <row r="1165" spans="1:48" s="18" customFormat="1" ht="16.5" customHeight="1">
      <c r="A1165" s="50"/>
      <c r="B1165" s="93" t="s">
        <v>669</v>
      </c>
      <c r="C1165" s="16"/>
      <c r="D1165" s="52"/>
      <c r="E1165" s="52"/>
      <c r="F1165" s="52"/>
      <c r="G1165" s="52"/>
      <c r="H1165" s="52"/>
      <c r="I1165" s="52"/>
      <c r="J1165" s="52"/>
      <c r="K1165" s="52"/>
      <c r="L1165" s="60">
        <f>SUM(L1166:L1169)</f>
        <v>4</v>
      </c>
      <c r="M1165" s="60">
        <f>SUM(M1166:M1169)</f>
        <v>6</v>
      </c>
      <c r="N1165" s="60">
        <f>SUM(N1166:N1169)</f>
        <v>9</v>
      </c>
      <c r="O1165" s="60">
        <f>SUM(O1166:O1169)</f>
        <v>9</v>
      </c>
      <c r="P1165" s="60">
        <f>SUM(P1166:P1169)</f>
        <v>9</v>
      </c>
      <c r="Q1165" s="256" t="e">
        <f>SUM(#REF!)</f>
        <v>#REF!</v>
      </c>
      <c r="R1165" s="100" t="e">
        <f>SUM(#REF!)</f>
        <v>#REF!</v>
      </c>
      <c r="S1165" s="100" t="e">
        <f>SUM(#REF!)</f>
        <v>#REF!</v>
      </c>
      <c r="T1165" s="47"/>
      <c r="U1165" s="47"/>
      <c r="V1165" s="47"/>
      <c r="W1165" s="47"/>
      <c r="X1165" s="47"/>
      <c r="Y1165" s="47"/>
      <c r="Z1165" s="47"/>
      <c r="AA1165" s="47"/>
      <c r="AB1165" s="47"/>
      <c r="AC1165" s="47"/>
      <c r="AD1165" s="47"/>
      <c r="AE1165" s="47"/>
      <c r="AF1165" s="47"/>
      <c r="AG1165" s="47"/>
      <c r="AH1165" s="47"/>
      <c r="AI1165" s="47"/>
      <c r="AJ1165" s="47"/>
      <c r="AK1165" s="47"/>
      <c r="AL1165" s="47"/>
      <c r="AM1165" s="47"/>
      <c r="AN1165" s="47"/>
      <c r="AO1165" s="47"/>
      <c r="AP1165" s="47"/>
      <c r="AQ1165" s="47"/>
      <c r="AR1165" s="47"/>
      <c r="AS1165" s="47"/>
      <c r="AT1165" s="47"/>
      <c r="AU1165" s="47"/>
      <c r="AV1165" s="47"/>
    </row>
    <row r="1166" spans="1:48" s="27" customFormat="1" ht="16.5" customHeight="1">
      <c r="A1166" s="12"/>
      <c r="B1166" s="97" t="s">
        <v>926</v>
      </c>
      <c r="C1166" s="29" t="s">
        <v>925</v>
      </c>
      <c r="D1166" s="51"/>
      <c r="E1166" s="40"/>
      <c r="F1166" s="40"/>
      <c r="G1166" s="40"/>
      <c r="H1166" s="40"/>
      <c r="I1166" s="40"/>
      <c r="J1166" s="40"/>
      <c r="K1166" s="40"/>
      <c r="L1166" s="40">
        <v>1</v>
      </c>
      <c r="M1166" s="40">
        <v>1</v>
      </c>
      <c r="N1166" s="40">
        <v>2</v>
      </c>
      <c r="O1166" s="40">
        <v>2</v>
      </c>
      <c r="P1166" s="40">
        <v>2</v>
      </c>
      <c r="Q1166" s="30"/>
      <c r="R1166" s="30"/>
      <c r="S1166" s="30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</row>
    <row r="1167" spans="1:48" s="27" customFormat="1" ht="16.5" customHeight="1">
      <c r="A1167" s="12"/>
      <c r="B1167" s="105" t="s">
        <v>1318</v>
      </c>
      <c r="C1167" s="15">
        <v>15030121</v>
      </c>
      <c r="D1167" s="51"/>
      <c r="E1167" s="40"/>
      <c r="F1167" s="40"/>
      <c r="G1167" s="40"/>
      <c r="H1167" s="40"/>
      <c r="I1167" s="40"/>
      <c r="J1167" s="40"/>
      <c r="K1167" s="40"/>
      <c r="L1167" s="40">
        <v>1</v>
      </c>
      <c r="M1167" s="40">
        <v>1</v>
      </c>
      <c r="N1167" s="40">
        <v>2</v>
      </c>
      <c r="O1167" s="40">
        <v>2</v>
      </c>
      <c r="P1167" s="40">
        <v>2</v>
      </c>
      <c r="Q1167" s="30"/>
      <c r="R1167" s="30"/>
      <c r="S1167" s="30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</row>
    <row r="1168" spans="1:48" s="27" customFormat="1" ht="16.5" customHeight="1">
      <c r="A1168" s="12"/>
      <c r="B1168" s="97" t="s">
        <v>930</v>
      </c>
      <c r="C1168" s="29" t="s">
        <v>931</v>
      </c>
      <c r="D1168" s="51"/>
      <c r="E1168" s="40"/>
      <c r="F1168" s="40"/>
      <c r="G1168" s="40"/>
      <c r="H1168" s="40"/>
      <c r="I1168" s="40"/>
      <c r="J1168" s="40"/>
      <c r="K1168" s="40"/>
      <c r="L1168" s="40">
        <v>1</v>
      </c>
      <c r="M1168" s="40">
        <v>2</v>
      </c>
      <c r="N1168" s="40">
        <v>2</v>
      </c>
      <c r="O1168" s="40">
        <v>2</v>
      </c>
      <c r="P1168" s="40">
        <v>2</v>
      </c>
      <c r="Q1168" s="30"/>
      <c r="R1168" s="30"/>
      <c r="S1168" s="30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</row>
    <row r="1169" spans="1:48" s="27" customFormat="1" ht="16.5" customHeight="1">
      <c r="A1169" s="12"/>
      <c r="B1169" s="97" t="s">
        <v>1334</v>
      </c>
      <c r="C1169" s="29" t="s">
        <v>1335</v>
      </c>
      <c r="D1169" s="51"/>
      <c r="E1169" s="40"/>
      <c r="F1169" s="40"/>
      <c r="G1169" s="40"/>
      <c r="H1169" s="40"/>
      <c r="I1169" s="40"/>
      <c r="J1169" s="40"/>
      <c r="K1169" s="40"/>
      <c r="L1169" s="40">
        <v>1</v>
      </c>
      <c r="M1169" s="40">
        <v>2</v>
      </c>
      <c r="N1169" s="40">
        <v>3</v>
      </c>
      <c r="O1169" s="40">
        <v>3</v>
      </c>
      <c r="P1169" s="40">
        <v>3</v>
      </c>
      <c r="Q1169" s="30"/>
      <c r="R1169" s="30"/>
      <c r="S1169" s="30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</row>
    <row r="1170" spans="1:188" s="57" customFormat="1" ht="16.5" customHeight="1">
      <c r="A1170" s="13">
        <v>55</v>
      </c>
      <c r="B1170" s="92" t="s">
        <v>227</v>
      </c>
      <c r="C1170" s="45"/>
      <c r="D1170" s="44">
        <v>77</v>
      </c>
      <c r="E1170" s="44">
        <v>9</v>
      </c>
      <c r="F1170" s="44">
        <v>67</v>
      </c>
      <c r="G1170" s="44">
        <v>83</v>
      </c>
      <c r="H1170" s="44">
        <v>86</v>
      </c>
      <c r="I1170" s="44">
        <v>90</v>
      </c>
      <c r="J1170" s="44">
        <v>90</v>
      </c>
      <c r="K1170" s="44">
        <v>90</v>
      </c>
      <c r="L1170" s="44">
        <f>SUM(L1171,L1174)</f>
        <v>6</v>
      </c>
      <c r="M1170" s="44">
        <f>SUM(M1171,M1174)</f>
        <v>9</v>
      </c>
      <c r="N1170" s="44">
        <f>SUM(N1171,N1174)</f>
        <v>14</v>
      </c>
      <c r="O1170" s="44">
        <f>SUM(O1171,O1174)</f>
        <v>14</v>
      </c>
      <c r="P1170" s="44">
        <f>SUM(P1171,P1174)</f>
        <v>14</v>
      </c>
      <c r="Q1170" s="54" t="s">
        <v>649</v>
      </c>
      <c r="R1170" s="54">
        <v>2</v>
      </c>
      <c r="S1170" s="55" t="s">
        <v>1341</v>
      </c>
      <c r="T1170" s="56"/>
      <c r="U1170" s="56"/>
      <c r="V1170" s="56"/>
      <c r="W1170" s="56"/>
      <c r="X1170" s="56"/>
      <c r="Y1170" s="56"/>
      <c r="Z1170" s="56"/>
      <c r="AA1170" s="56"/>
      <c r="AB1170" s="56"/>
      <c r="AC1170" s="56"/>
      <c r="AD1170" s="56"/>
      <c r="AE1170" s="56"/>
      <c r="AF1170" s="56"/>
      <c r="AG1170" s="56"/>
      <c r="AH1170" s="56"/>
      <c r="AI1170" s="56"/>
      <c r="AJ1170" s="56"/>
      <c r="AK1170" s="56"/>
      <c r="AL1170" s="56"/>
      <c r="AM1170" s="56"/>
      <c r="AN1170" s="56"/>
      <c r="AO1170" s="56"/>
      <c r="AP1170" s="56"/>
      <c r="AQ1170" s="56"/>
      <c r="AR1170" s="56"/>
      <c r="AS1170" s="56"/>
      <c r="AT1170" s="56"/>
      <c r="AU1170" s="56"/>
      <c r="AV1170" s="56"/>
      <c r="AW1170" s="56"/>
      <c r="AX1170" s="56"/>
      <c r="AY1170" s="56"/>
      <c r="AZ1170" s="56"/>
      <c r="BA1170" s="56"/>
      <c r="BB1170" s="56"/>
      <c r="BC1170" s="56"/>
      <c r="BD1170" s="56"/>
      <c r="BE1170" s="56"/>
      <c r="BF1170" s="56"/>
      <c r="BG1170" s="56"/>
      <c r="BH1170" s="56"/>
      <c r="BI1170" s="56"/>
      <c r="BJ1170" s="56"/>
      <c r="BK1170" s="56"/>
      <c r="BL1170" s="56"/>
      <c r="BM1170" s="56"/>
      <c r="BN1170" s="56"/>
      <c r="BO1170" s="56"/>
      <c r="BP1170" s="56"/>
      <c r="BQ1170" s="56"/>
      <c r="BR1170" s="56"/>
      <c r="BS1170" s="56"/>
      <c r="BT1170" s="56"/>
      <c r="BU1170" s="56"/>
      <c r="BV1170" s="56"/>
      <c r="BW1170" s="56"/>
      <c r="BX1170" s="56"/>
      <c r="BY1170" s="56"/>
      <c r="BZ1170" s="56"/>
      <c r="CA1170" s="56"/>
      <c r="CB1170" s="56"/>
      <c r="CC1170" s="56"/>
      <c r="CD1170" s="56"/>
      <c r="CE1170" s="56"/>
      <c r="CF1170" s="56"/>
      <c r="CG1170" s="56"/>
      <c r="CH1170" s="56"/>
      <c r="CI1170" s="56"/>
      <c r="CJ1170" s="56"/>
      <c r="CK1170" s="56"/>
      <c r="CL1170" s="56"/>
      <c r="CM1170" s="56"/>
      <c r="CN1170" s="56"/>
      <c r="CO1170" s="56"/>
      <c r="CP1170" s="56"/>
      <c r="CQ1170" s="56"/>
      <c r="CR1170" s="56"/>
      <c r="CS1170" s="56"/>
      <c r="CT1170" s="56"/>
      <c r="CU1170" s="56"/>
      <c r="CV1170" s="56"/>
      <c r="CW1170" s="56"/>
      <c r="CX1170" s="56"/>
      <c r="CY1170" s="56"/>
      <c r="CZ1170" s="56"/>
      <c r="DA1170" s="56"/>
      <c r="DB1170" s="56"/>
      <c r="DC1170" s="56"/>
      <c r="DD1170" s="56"/>
      <c r="DE1170" s="56"/>
      <c r="DF1170" s="56"/>
      <c r="DG1170" s="56"/>
      <c r="DH1170" s="56"/>
      <c r="DI1170" s="56"/>
      <c r="DJ1170" s="56"/>
      <c r="DK1170" s="56"/>
      <c r="DL1170" s="56"/>
      <c r="DM1170" s="56"/>
      <c r="DN1170" s="56"/>
      <c r="DO1170" s="56"/>
      <c r="DP1170" s="56"/>
      <c r="DQ1170" s="56"/>
      <c r="DR1170" s="56"/>
      <c r="DS1170" s="56"/>
      <c r="DT1170" s="56"/>
      <c r="DU1170" s="56"/>
      <c r="DV1170" s="56"/>
      <c r="DW1170" s="56"/>
      <c r="DX1170" s="56"/>
      <c r="DY1170" s="56"/>
      <c r="DZ1170" s="56"/>
      <c r="EA1170" s="56"/>
      <c r="EB1170" s="56"/>
      <c r="EC1170" s="56"/>
      <c r="ED1170" s="56"/>
      <c r="EE1170" s="56"/>
      <c r="EF1170" s="56"/>
      <c r="EG1170" s="56"/>
      <c r="EH1170" s="56"/>
      <c r="EI1170" s="56"/>
      <c r="EJ1170" s="56"/>
      <c r="EK1170" s="56"/>
      <c r="EL1170" s="56"/>
      <c r="EM1170" s="56"/>
      <c r="EN1170" s="56"/>
      <c r="EO1170" s="56"/>
      <c r="EP1170" s="56"/>
      <c r="EQ1170" s="56"/>
      <c r="ER1170" s="56"/>
      <c r="ES1170" s="56"/>
      <c r="ET1170" s="56"/>
      <c r="EU1170" s="56"/>
      <c r="EV1170" s="56"/>
      <c r="EW1170" s="56"/>
      <c r="EX1170" s="56"/>
      <c r="EY1170" s="56"/>
      <c r="EZ1170" s="56"/>
      <c r="FA1170" s="56"/>
      <c r="FB1170" s="56"/>
      <c r="FC1170" s="56"/>
      <c r="FD1170" s="56"/>
      <c r="FE1170" s="56"/>
      <c r="FF1170" s="56"/>
      <c r="FG1170" s="56"/>
      <c r="FH1170" s="56"/>
      <c r="FI1170" s="56"/>
      <c r="FJ1170" s="56"/>
      <c r="FK1170" s="56"/>
      <c r="FL1170" s="56"/>
      <c r="FM1170" s="56"/>
      <c r="FN1170" s="56"/>
      <c r="FO1170" s="56"/>
      <c r="FP1170" s="56"/>
      <c r="FQ1170" s="56"/>
      <c r="FR1170" s="56"/>
      <c r="FS1170" s="56"/>
      <c r="FT1170" s="56"/>
      <c r="FU1170" s="56"/>
      <c r="FV1170" s="56"/>
      <c r="FW1170" s="56"/>
      <c r="FX1170" s="56"/>
      <c r="FY1170" s="56"/>
      <c r="FZ1170" s="56"/>
      <c r="GA1170" s="56"/>
      <c r="GB1170" s="56"/>
      <c r="GC1170" s="56"/>
      <c r="GD1170" s="56"/>
      <c r="GE1170" s="56"/>
      <c r="GF1170" s="56"/>
    </row>
    <row r="1171" spans="1:48" s="18" customFormat="1" ht="16.5" customHeight="1">
      <c r="A1171" s="50"/>
      <c r="B1171" s="93" t="s">
        <v>669</v>
      </c>
      <c r="C1171" s="16"/>
      <c r="D1171" s="52"/>
      <c r="E1171" s="52"/>
      <c r="F1171" s="52"/>
      <c r="G1171" s="52"/>
      <c r="H1171" s="52"/>
      <c r="I1171" s="52"/>
      <c r="J1171" s="52"/>
      <c r="K1171" s="52"/>
      <c r="L1171" s="60">
        <f>SUM(L1172:L1173)</f>
        <v>4</v>
      </c>
      <c r="M1171" s="60">
        <f>SUM(M1172:M1173)</f>
        <v>7</v>
      </c>
      <c r="N1171" s="60">
        <f>SUM(N1172:N1173)</f>
        <v>12</v>
      </c>
      <c r="O1171" s="60">
        <f>SUM(O1172:O1173)</f>
        <v>12</v>
      </c>
      <c r="P1171" s="60">
        <f>SUM(P1172:P1173)</f>
        <v>12</v>
      </c>
      <c r="Q1171" s="23"/>
      <c r="R1171" s="23"/>
      <c r="S1171" s="17"/>
      <c r="T1171" s="47"/>
      <c r="U1171" s="47"/>
      <c r="V1171" s="47"/>
      <c r="W1171" s="47"/>
      <c r="X1171" s="47"/>
      <c r="Y1171" s="47"/>
      <c r="Z1171" s="47"/>
      <c r="AA1171" s="47"/>
      <c r="AB1171" s="47"/>
      <c r="AC1171" s="47"/>
      <c r="AD1171" s="47"/>
      <c r="AE1171" s="47"/>
      <c r="AF1171" s="47"/>
      <c r="AG1171" s="47"/>
      <c r="AH1171" s="47"/>
      <c r="AI1171" s="47"/>
      <c r="AJ1171" s="47"/>
      <c r="AK1171" s="47"/>
      <c r="AL1171" s="47"/>
      <c r="AM1171" s="47"/>
      <c r="AN1171" s="47"/>
      <c r="AO1171" s="47"/>
      <c r="AP1171" s="47"/>
      <c r="AQ1171" s="47"/>
      <c r="AR1171" s="47"/>
      <c r="AS1171" s="47"/>
      <c r="AT1171" s="47"/>
      <c r="AU1171" s="47"/>
      <c r="AV1171" s="47"/>
    </row>
    <row r="1172" spans="1:48" s="27" customFormat="1" ht="16.5" customHeight="1">
      <c r="A1172" s="12"/>
      <c r="B1172" s="105" t="s">
        <v>790</v>
      </c>
      <c r="C1172" s="15" t="s">
        <v>791</v>
      </c>
      <c r="D1172" s="51"/>
      <c r="E1172" s="51"/>
      <c r="F1172" s="51"/>
      <c r="G1172" s="51"/>
      <c r="H1172" s="51"/>
      <c r="I1172" s="51"/>
      <c r="J1172" s="51"/>
      <c r="K1172" s="51"/>
      <c r="L1172" s="40">
        <v>4</v>
      </c>
      <c r="M1172" s="40">
        <v>6</v>
      </c>
      <c r="N1172" s="40">
        <v>10</v>
      </c>
      <c r="O1172" s="40">
        <v>10</v>
      </c>
      <c r="P1172" s="40">
        <v>10</v>
      </c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</row>
    <row r="1173" spans="1:48" s="27" customFormat="1" ht="16.5" customHeight="1">
      <c r="A1173" s="12"/>
      <c r="B1173" s="105" t="s">
        <v>788</v>
      </c>
      <c r="C1173" s="15" t="s">
        <v>789</v>
      </c>
      <c r="D1173" s="51"/>
      <c r="E1173" s="51"/>
      <c r="F1173" s="51"/>
      <c r="G1173" s="51"/>
      <c r="H1173" s="51"/>
      <c r="I1173" s="51"/>
      <c r="J1173" s="51"/>
      <c r="K1173" s="51"/>
      <c r="L1173" s="40" t="s">
        <v>556</v>
      </c>
      <c r="M1173" s="40">
        <v>1</v>
      </c>
      <c r="N1173" s="40">
        <v>2</v>
      </c>
      <c r="O1173" s="40">
        <v>2</v>
      </c>
      <c r="P1173" s="40">
        <v>2</v>
      </c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</row>
    <row r="1174" spans="1:48" s="18" customFormat="1" ht="16.5" customHeight="1">
      <c r="A1174" s="50"/>
      <c r="B1174" s="93" t="s">
        <v>524</v>
      </c>
      <c r="C1174" s="16"/>
      <c r="D1174" s="52"/>
      <c r="E1174" s="52"/>
      <c r="F1174" s="52"/>
      <c r="G1174" s="52"/>
      <c r="H1174" s="52"/>
      <c r="I1174" s="52"/>
      <c r="J1174" s="52"/>
      <c r="K1174" s="52"/>
      <c r="L1174" s="60">
        <v>2</v>
      </c>
      <c r="M1174" s="60">
        <v>2</v>
      </c>
      <c r="N1174" s="60">
        <v>2</v>
      </c>
      <c r="O1174" s="60">
        <v>2</v>
      </c>
      <c r="P1174" s="60">
        <v>2</v>
      </c>
      <c r="Q1174" s="23"/>
      <c r="R1174" s="23"/>
      <c r="S1174" s="17"/>
      <c r="T1174" s="47"/>
      <c r="U1174" s="47"/>
      <c r="V1174" s="47"/>
      <c r="W1174" s="47"/>
      <c r="X1174" s="47"/>
      <c r="Y1174" s="47"/>
      <c r="Z1174" s="47"/>
      <c r="AA1174" s="47"/>
      <c r="AB1174" s="47"/>
      <c r="AC1174" s="47"/>
      <c r="AD1174" s="47"/>
      <c r="AE1174" s="47"/>
      <c r="AF1174" s="47"/>
      <c r="AG1174" s="47"/>
      <c r="AH1174" s="47"/>
      <c r="AI1174" s="47"/>
      <c r="AJ1174" s="47"/>
      <c r="AK1174" s="47"/>
      <c r="AL1174" s="47"/>
      <c r="AM1174" s="47"/>
      <c r="AN1174" s="47"/>
      <c r="AO1174" s="47"/>
      <c r="AP1174" s="47"/>
      <c r="AQ1174" s="47"/>
      <c r="AR1174" s="47"/>
      <c r="AS1174" s="47"/>
      <c r="AT1174" s="47"/>
      <c r="AU1174" s="47"/>
      <c r="AV1174" s="47"/>
    </row>
    <row r="1175" spans="1:48" s="27" customFormat="1" ht="16.5" customHeight="1">
      <c r="A1175" s="12"/>
      <c r="B1175" s="105" t="s">
        <v>934</v>
      </c>
      <c r="C1175" s="15" t="s">
        <v>935</v>
      </c>
      <c r="D1175" s="51"/>
      <c r="E1175" s="51"/>
      <c r="F1175" s="51"/>
      <c r="G1175" s="51"/>
      <c r="H1175" s="51"/>
      <c r="I1175" s="51"/>
      <c r="J1175" s="51"/>
      <c r="K1175" s="51"/>
      <c r="L1175" s="40">
        <v>1</v>
      </c>
      <c r="M1175" s="40">
        <v>1</v>
      </c>
      <c r="N1175" s="40">
        <v>1</v>
      </c>
      <c r="O1175" s="40">
        <v>1</v>
      </c>
      <c r="P1175" s="40">
        <v>1</v>
      </c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</row>
    <row r="1176" spans="1:48" s="27" customFormat="1" ht="16.5" customHeight="1">
      <c r="A1176" s="12"/>
      <c r="B1176" s="97" t="s">
        <v>637</v>
      </c>
      <c r="C1176" s="15" t="s">
        <v>638</v>
      </c>
      <c r="D1176" s="51"/>
      <c r="E1176" s="51"/>
      <c r="F1176" s="51"/>
      <c r="G1176" s="51"/>
      <c r="H1176" s="51"/>
      <c r="I1176" s="51"/>
      <c r="J1176" s="51"/>
      <c r="K1176" s="51"/>
      <c r="L1176" s="40">
        <v>1</v>
      </c>
      <c r="M1176" s="40">
        <v>1</v>
      </c>
      <c r="N1176" s="40">
        <v>1</v>
      </c>
      <c r="O1176" s="40">
        <v>1</v>
      </c>
      <c r="P1176" s="40">
        <v>1</v>
      </c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</row>
    <row r="1177" spans="1:188" s="57" customFormat="1" ht="16.5" customHeight="1">
      <c r="A1177" s="13">
        <v>56</v>
      </c>
      <c r="B1177" s="92" t="s">
        <v>334</v>
      </c>
      <c r="C1177" s="45"/>
      <c r="D1177" s="44">
        <v>97</v>
      </c>
      <c r="E1177" s="44">
        <v>44</v>
      </c>
      <c r="F1177" s="44">
        <v>67</v>
      </c>
      <c r="G1177" s="44">
        <v>83</v>
      </c>
      <c r="H1177" s="44">
        <v>86</v>
      </c>
      <c r="I1177" s="44">
        <v>90</v>
      </c>
      <c r="J1177" s="44">
        <v>90</v>
      </c>
      <c r="K1177" s="44">
        <v>90</v>
      </c>
      <c r="L1177" s="44">
        <f>L1178</f>
        <v>7</v>
      </c>
      <c r="M1177" s="44">
        <f aca="true" t="shared" si="49" ref="M1177:S1177">M1178</f>
        <v>8</v>
      </c>
      <c r="N1177" s="44">
        <f t="shared" si="49"/>
        <v>8</v>
      </c>
      <c r="O1177" s="44">
        <f t="shared" si="49"/>
        <v>8</v>
      </c>
      <c r="P1177" s="44">
        <f t="shared" si="49"/>
        <v>7</v>
      </c>
      <c r="Q1177" s="258">
        <f t="shared" si="49"/>
        <v>0</v>
      </c>
      <c r="R1177" s="99">
        <f t="shared" si="49"/>
        <v>0</v>
      </c>
      <c r="S1177" s="99">
        <f t="shared" si="49"/>
        <v>0</v>
      </c>
      <c r="T1177" s="56"/>
      <c r="U1177" s="56"/>
      <c r="V1177" s="56"/>
      <c r="W1177" s="56"/>
      <c r="X1177" s="56"/>
      <c r="Y1177" s="56"/>
      <c r="Z1177" s="56"/>
      <c r="AA1177" s="56"/>
      <c r="AB1177" s="56"/>
      <c r="AC1177" s="56"/>
      <c r="AD1177" s="56"/>
      <c r="AE1177" s="56"/>
      <c r="AF1177" s="56"/>
      <c r="AG1177" s="56"/>
      <c r="AH1177" s="56"/>
      <c r="AI1177" s="56"/>
      <c r="AJ1177" s="56"/>
      <c r="AK1177" s="56"/>
      <c r="AL1177" s="56"/>
      <c r="AM1177" s="56"/>
      <c r="AN1177" s="56"/>
      <c r="AO1177" s="56"/>
      <c r="AP1177" s="56"/>
      <c r="AQ1177" s="56"/>
      <c r="AR1177" s="56"/>
      <c r="AS1177" s="56"/>
      <c r="AT1177" s="56"/>
      <c r="AU1177" s="56"/>
      <c r="AV1177" s="56"/>
      <c r="AW1177" s="56"/>
      <c r="AX1177" s="56"/>
      <c r="AY1177" s="56"/>
      <c r="AZ1177" s="56"/>
      <c r="BA1177" s="56"/>
      <c r="BB1177" s="56"/>
      <c r="BC1177" s="56"/>
      <c r="BD1177" s="56"/>
      <c r="BE1177" s="56"/>
      <c r="BF1177" s="56"/>
      <c r="BG1177" s="56"/>
      <c r="BH1177" s="56"/>
      <c r="BI1177" s="56"/>
      <c r="BJ1177" s="56"/>
      <c r="BK1177" s="56"/>
      <c r="BL1177" s="56"/>
      <c r="BM1177" s="56"/>
      <c r="BN1177" s="56"/>
      <c r="BO1177" s="56"/>
      <c r="BP1177" s="56"/>
      <c r="BQ1177" s="56"/>
      <c r="BR1177" s="56"/>
      <c r="BS1177" s="56"/>
      <c r="BT1177" s="56"/>
      <c r="BU1177" s="56"/>
      <c r="BV1177" s="56"/>
      <c r="BW1177" s="56"/>
      <c r="BX1177" s="56"/>
      <c r="BY1177" s="56"/>
      <c r="BZ1177" s="56"/>
      <c r="CA1177" s="56"/>
      <c r="CB1177" s="56"/>
      <c r="CC1177" s="56"/>
      <c r="CD1177" s="56"/>
      <c r="CE1177" s="56"/>
      <c r="CF1177" s="56"/>
      <c r="CG1177" s="56"/>
      <c r="CH1177" s="56"/>
      <c r="CI1177" s="56"/>
      <c r="CJ1177" s="56"/>
      <c r="CK1177" s="56"/>
      <c r="CL1177" s="56"/>
      <c r="CM1177" s="56"/>
      <c r="CN1177" s="56"/>
      <c r="CO1177" s="56"/>
      <c r="CP1177" s="56"/>
      <c r="CQ1177" s="56"/>
      <c r="CR1177" s="56"/>
      <c r="CS1177" s="56"/>
      <c r="CT1177" s="56"/>
      <c r="CU1177" s="56"/>
      <c r="CV1177" s="56"/>
      <c r="CW1177" s="56"/>
      <c r="CX1177" s="56"/>
      <c r="CY1177" s="56"/>
      <c r="CZ1177" s="56"/>
      <c r="DA1177" s="56"/>
      <c r="DB1177" s="56"/>
      <c r="DC1177" s="56"/>
      <c r="DD1177" s="56"/>
      <c r="DE1177" s="56"/>
      <c r="DF1177" s="56"/>
      <c r="DG1177" s="56"/>
      <c r="DH1177" s="56"/>
      <c r="DI1177" s="56"/>
      <c r="DJ1177" s="56"/>
      <c r="DK1177" s="56"/>
      <c r="DL1177" s="56"/>
      <c r="DM1177" s="56"/>
      <c r="DN1177" s="56"/>
      <c r="DO1177" s="56"/>
      <c r="DP1177" s="56"/>
      <c r="DQ1177" s="56"/>
      <c r="DR1177" s="56"/>
      <c r="DS1177" s="56"/>
      <c r="DT1177" s="56"/>
      <c r="DU1177" s="56"/>
      <c r="DV1177" s="56"/>
      <c r="DW1177" s="56"/>
      <c r="DX1177" s="56"/>
      <c r="DY1177" s="56"/>
      <c r="DZ1177" s="56"/>
      <c r="EA1177" s="56"/>
      <c r="EB1177" s="56"/>
      <c r="EC1177" s="56"/>
      <c r="ED1177" s="56"/>
      <c r="EE1177" s="56"/>
      <c r="EF1177" s="56"/>
      <c r="EG1177" s="56"/>
      <c r="EH1177" s="56"/>
      <c r="EI1177" s="56"/>
      <c r="EJ1177" s="56"/>
      <c r="EK1177" s="56"/>
      <c r="EL1177" s="56"/>
      <c r="EM1177" s="56"/>
      <c r="EN1177" s="56"/>
      <c r="EO1177" s="56"/>
      <c r="EP1177" s="56"/>
      <c r="EQ1177" s="56"/>
      <c r="ER1177" s="56"/>
      <c r="ES1177" s="56"/>
      <c r="ET1177" s="56"/>
      <c r="EU1177" s="56"/>
      <c r="EV1177" s="56"/>
      <c r="EW1177" s="56"/>
      <c r="EX1177" s="56"/>
      <c r="EY1177" s="56"/>
      <c r="EZ1177" s="56"/>
      <c r="FA1177" s="56"/>
      <c r="FB1177" s="56"/>
      <c r="FC1177" s="56"/>
      <c r="FD1177" s="56"/>
      <c r="FE1177" s="56"/>
      <c r="FF1177" s="56"/>
      <c r="FG1177" s="56"/>
      <c r="FH1177" s="56"/>
      <c r="FI1177" s="56"/>
      <c r="FJ1177" s="56"/>
      <c r="FK1177" s="56"/>
      <c r="FL1177" s="56"/>
      <c r="FM1177" s="56"/>
      <c r="FN1177" s="56"/>
      <c r="FO1177" s="56"/>
      <c r="FP1177" s="56"/>
      <c r="FQ1177" s="56"/>
      <c r="FR1177" s="56"/>
      <c r="FS1177" s="56"/>
      <c r="FT1177" s="56"/>
      <c r="FU1177" s="56"/>
      <c r="FV1177" s="56"/>
      <c r="FW1177" s="56"/>
      <c r="FX1177" s="56"/>
      <c r="FY1177" s="56"/>
      <c r="FZ1177" s="56"/>
      <c r="GA1177" s="56"/>
      <c r="GB1177" s="56"/>
      <c r="GC1177" s="56"/>
      <c r="GD1177" s="56"/>
      <c r="GE1177" s="56"/>
      <c r="GF1177" s="56"/>
    </row>
    <row r="1178" spans="1:48" s="18" customFormat="1" ht="16.5" customHeight="1">
      <c r="A1178" s="50"/>
      <c r="B1178" s="93" t="s">
        <v>669</v>
      </c>
      <c r="C1178" s="16"/>
      <c r="D1178" s="52"/>
      <c r="E1178" s="52"/>
      <c r="F1178" s="52"/>
      <c r="G1178" s="52"/>
      <c r="H1178" s="52"/>
      <c r="I1178" s="52"/>
      <c r="J1178" s="52"/>
      <c r="K1178" s="52"/>
      <c r="L1178" s="60">
        <f>SUM(L1179:L1182)</f>
        <v>7</v>
      </c>
      <c r="M1178" s="60">
        <f>SUM(M1179:M1182)</f>
        <v>8</v>
      </c>
      <c r="N1178" s="60">
        <f>SUM(N1179:N1182)</f>
        <v>8</v>
      </c>
      <c r="O1178" s="60">
        <f>SUM(O1179:O1182)</f>
        <v>8</v>
      </c>
      <c r="P1178" s="60">
        <f>SUM(P1179:P1182)</f>
        <v>7</v>
      </c>
      <c r="Q1178" s="23"/>
      <c r="R1178" s="23"/>
      <c r="S1178" s="17"/>
      <c r="T1178" s="47"/>
      <c r="U1178" s="47"/>
      <c r="V1178" s="47"/>
      <c r="W1178" s="47"/>
      <c r="X1178" s="47"/>
      <c r="Y1178" s="47"/>
      <c r="Z1178" s="47"/>
      <c r="AA1178" s="47"/>
      <c r="AB1178" s="47"/>
      <c r="AC1178" s="47"/>
      <c r="AD1178" s="47"/>
      <c r="AE1178" s="47"/>
      <c r="AF1178" s="47"/>
      <c r="AG1178" s="47"/>
      <c r="AH1178" s="47"/>
      <c r="AI1178" s="47"/>
      <c r="AJ1178" s="47"/>
      <c r="AK1178" s="47"/>
      <c r="AL1178" s="47"/>
      <c r="AM1178" s="47"/>
      <c r="AN1178" s="47"/>
      <c r="AO1178" s="47"/>
      <c r="AP1178" s="47"/>
      <c r="AQ1178" s="47"/>
      <c r="AR1178" s="47"/>
      <c r="AS1178" s="47"/>
      <c r="AT1178" s="47"/>
      <c r="AU1178" s="47"/>
      <c r="AV1178" s="47"/>
    </row>
    <row r="1179" spans="1:48" s="27" customFormat="1" ht="16.5" customHeight="1">
      <c r="A1179" s="12"/>
      <c r="B1179" s="105" t="s">
        <v>1030</v>
      </c>
      <c r="C1179" s="15" t="s">
        <v>1031</v>
      </c>
      <c r="D1179" s="51"/>
      <c r="E1179" s="51"/>
      <c r="F1179" s="51"/>
      <c r="G1179" s="51"/>
      <c r="H1179" s="51"/>
      <c r="I1179" s="51"/>
      <c r="J1179" s="51"/>
      <c r="K1179" s="51"/>
      <c r="L1179" s="40">
        <v>6</v>
      </c>
      <c r="M1179" s="40">
        <v>6</v>
      </c>
      <c r="N1179" s="40">
        <v>6</v>
      </c>
      <c r="O1179" s="40">
        <v>6</v>
      </c>
      <c r="P1179" s="40">
        <v>6</v>
      </c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</row>
    <row r="1180" spans="1:48" s="27" customFormat="1" ht="16.5" customHeight="1">
      <c r="A1180" s="12"/>
      <c r="B1180" s="97" t="s">
        <v>797</v>
      </c>
      <c r="C1180" s="29" t="s">
        <v>798</v>
      </c>
      <c r="D1180" s="51"/>
      <c r="E1180" s="51"/>
      <c r="F1180" s="51"/>
      <c r="G1180" s="51"/>
      <c r="H1180" s="51"/>
      <c r="I1180" s="51"/>
      <c r="J1180" s="51"/>
      <c r="K1180" s="51"/>
      <c r="L1180" s="40" t="s">
        <v>556</v>
      </c>
      <c r="M1180" s="40">
        <v>1</v>
      </c>
      <c r="N1180" s="40" t="s">
        <v>556</v>
      </c>
      <c r="O1180" s="40">
        <v>1</v>
      </c>
      <c r="P1180" s="40" t="s">
        <v>556</v>
      </c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</row>
    <row r="1181" spans="1:48" s="27" customFormat="1" ht="16.5" customHeight="1">
      <c r="A1181" s="12"/>
      <c r="B1181" s="105" t="s">
        <v>426</v>
      </c>
      <c r="C1181" s="64" t="s">
        <v>427</v>
      </c>
      <c r="D1181" s="51"/>
      <c r="E1181" s="51"/>
      <c r="F1181" s="51"/>
      <c r="G1181" s="51"/>
      <c r="H1181" s="51"/>
      <c r="I1181" s="51"/>
      <c r="J1181" s="51"/>
      <c r="K1181" s="51"/>
      <c r="L1181" s="40">
        <v>1</v>
      </c>
      <c r="M1181" s="40">
        <v>1</v>
      </c>
      <c r="N1181" s="40">
        <v>1</v>
      </c>
      <c r="O1181" s="40">
        <v>1</v>
      </c>
      <c r="P1181" s="40">
        <v>1</v>
      </c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</row>
    <row r="1182" spans="1:48" s="27" customFormat="1" ht="16.5" customHeight="1">
      <c r="A1182" s="12"/>
      <c r="B1182" s="97" t="s">
        <v>564</v>
      </c>
      <c r="C1182" s="29" t="s">
        <v>565</v>
      </c>
      <c r="D1182" s="51"/>
      <c r="E1182" s="51"/>
      <c r="F1182" s="51"/>
      <c r="G1182" s="51"/>
      <c r="H1182" s="51"/>
      <c r="I1182" s="51"/>
      <c r="J1182" s="51"/>
      <c r="K1182" s="51"/>
      <c r="L1182" s="40" t="s">
        <v>556</v>
      </c>
      <c r="M1182" s="40" t="s">
        <v>556</v>
      </c>
      <c r="N1182" s="40">
        <v>1</v>
      </c>
      <c r="O1182" s="40" t="s">
        <v>556</v>
      </c>
      <c r="P1182" s="40" t="s">
        <v>556</v>
      </c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</row>
    <row r="1183" spans="1:188" s="57" customFormat="1" ht="16.5" customHeight="1">
      <c r="A1183" s="13">
        <v>57</v>
      </c>
      <c r="B1183" s="92" t="s">
        <v>78</v>
      </c>
      <c r="C1183" s="45"/>
      <c r="D1183" s="44">
        <v>99</v>
      </c>
      <c r="E1183" s="44">
        <v>37</v>
      </c>
      <c r="F1183" s="44">
        <v>67</v>
      </c>
      <c r="G1183" s="44">
        <v>83</v>
      </c>
      <c r="H1183" s="44">
        <v>86</v>
      </c>
      <c r="I1183" s="44">
        <v>90</v>
      </c>
      <c r="J1183" s="44">
        <v>90</v>
      </c>
      <c r="K1183" s="44">
        <v>90</v>
      </c>
      <c r="L1183" s="44">
        <f>L1184</f>
        <v>7</v>
      </c>
      <c r="M1183" s="44">
        <f aca="true" t="shared" si="50" ref="M1183:S1183">M1184</f>
        <v>8</v>
      </c>
      <c r="N1183" s="44">
        <f t="shared" si="50"/>
        <v>9</v>
      </c>
      <c r="O1183" s="44">
        <f t="shared" si="50"/>
        <v>8</v>
      </c>
      <c r="P1183" s="44">
        <f t="shared" si="50"/>
        <v>8</v>
      </c>
      <c r="Q1183" s="258">
        <f t="shared" si="50"/>
        <v>0</v>
      </c>
      <c r="R1183" s="99">
        <f t="shared" si="50"/>
        <v>0</v>
      </c>
      <c r="S1183" s="99">
        <f t="shared" si="50"/>
        <v>0</v>
      </c>
      <c r="T1183" s="56"/>
      <c r="U1183" s="56"/>
      <c r="V1183" s="56"/>
      <c r="W1183" s="56"/>
      <c r="X1183" s="56"/>
      <c r="Y1183" s="56"/>
      <c r="Z1183" s="56"/>
      <c r="AA1183" s="56"/>
      <c r="AB1183" s="56"/>
      <c r="AC1183" s="56"/>
      <c r="AD1183" s="56"/>
      <c r="AE1183" s="56"/>
      <c r="AF1183" s="56"/>
      <c r="AG1183" s="56"/>
      <c r="AH1183" s="56"/>
      <c r="AI1183" s="56"/>
      <c r="AJ1183" s="56"/>
      <c r="AK1183" s="56"/>
      <c r="AL1183" s="56"/>
      <c r="AM1183" s="56"/>
      <c r="AN1183" s="56"/>
      <c r="AO1183" s="56"/>
      <c r="AP1183" s="56"/>
      <c r="AQ1183" s="56"/>
      <c r="AR1183" s="56"/>
      <c r="AS1183" s="56"/>
      <c r="AT1183" s="56"/>
      <c r="AU1183" s="56"/>
      <c r="AV1183" s="56"/>
      <c r="AW1183" s="56"/>
      <c r="AX1183" s="56"/>
      <c r="AY1183" s="56"/>
      <c r="AZ1183" s="56"/>
      <c r="BA1183" s="56"/>
      <c r="BB1183" s="56"/>
      <c r="BC1183" s="56"/>
      <c r="BD1183" s="56"/>
      <c r="BE1183" s="56"/>
      <c r="BF1183" s="56"/>
      <c r="BG1183" s="56"/>
      <c r="BH1183" s="56"/>
      <c r="BI1183" s="56"/>
      <c r="BJ1183" s="56"/>
      <c r="BK1183" s="56"/>
      <c r="BL1183" s="56"/>
      <c r="BM1183" s="56"/>
      <c r="BN1183" s="56"/>
      <c r="BO1183" s="56"/>
      <c r="BP1183" s="56"/>
      <c r="BQ1183" s="56"/>
      <c r="BR1183" s="56"/>
      <c r="BS1183" s="56"/>
      <c r="BT1183" s="56"/>
      <c r="BU1183" s="56"/>
      <c r="BV1183" s="56"/>
      <c r="BW1183" s="56"/>
      <c r="BX1183" s="56"/>
      <c r="BY1183" s="56"/>
      <c r="BZ1183" s="56"/>
      <c r="CA1183" s="56"/>
      <c r="CB1183" s="56"/>
      <c r="CC1183" s="56"/>
      <c r="CD1183" s="56"/>
      <c r="CE1183" s="56"/>
      <c r="CF1183" s="56"/>
      <c r="CG1183" s="56"/>
      <c r="CH1183" s="56"/>
      <c r="CI1183" s="56"/>
      <c r="CJ1183" s="56"/>
      <c r="CK1183" s="56"/>
      <c r="CL1183" s="56"/>
      <c r="CM1183" s="56"/>
      <c r="CN1183" s="56"/>
      <c r="CO1183" s="56"/>
      <c r="CP1183" s="56"/>
      <c r="CQ1183" s="56"/>
      <c r="CR1183" s="56"/>
      <c r="CS1183" s="56"/>
      <c r="CT1183" s="56"/>
      <c r="CU1183" s="56"/>
      <c r="CV1183" s="56"/>
      <c r="CW1183" s="56"/>
      <c r="CX1183" s="56"/>
      <c r="CY1183" s="56"/>
      <c r="CZ1183" s="56"/>
      <c r="DA1183" s="56"/>
      <c r="DB1183" s="56"/>
      <c r="DC1183" s="56"/>
      <c r="DD1183" s="56"/>
      <c r="DE1183" s="56"/>
      <c r="DF1183" s="56"/>
      <c r="DG1183" s="56"/>
      <c r="DH1183" s="56"/>
      <c r="DI1183" s="56"/>
      <c r="DJ1183" s="56"/>
      <c r="DK1183" s="56"/>
      <c r="DL1183" s="56"/>
      <c r="DM1183" s="56"/>
      <c r="DN1183" s="56"/>
      <c r="DO1183" s="56"/>
      <c r="DP1183" s="56"/>
      <c r="DQ1183" s="56"/>
      <c r="DR1183" s="56"/>
      <c r="DS1183" s="56"/>
      <c r="DT1183" s="56"/>
      <c r="DU1183" s="56"/>
      <c r="DV1183" s="56"/>
      <c r="DW1183" s="56"/>
      <c r="DX1183" s="56"/>
      <c r="DY1183" s="56"/>
      <c r="DZ1183" s="56"/>
      <c r="EA1183" s="56"/>
      <c r="EB1183" s="56"/>
      <c r="EC1183" s="56"/>
      <c r="ED1183" s="56"/>
      <c r="EE1183" s="56"/>
      <c r="EF1183" s="56"/>
      <c r="EG1183" s="56"/>
      <c r="EH1183" s="56"/>
      <c r="EI1183" s="56"/>
      <c r="EJ1183" s="56"/>
      <c r="EK1183" s="56"/>
      <c r="EL1183" s="56"/>
      <c r="EM1183" s="56"/>
      <c r="EN1183" s="56"/>
      <c r="EO1183" s="56"/>
      <c r="EP1183" s="56"/>
      <c r="EQ1183" s="56"/>
      <c r="ER1183" s="56"/>
      <c r="ES1183" s="56"/>
      <c r="ET1183" s="56"/>
      <c r="EU1183" s="56"/>
      <c r="EV1183" s="56"/>
      <c r="EW1183" s="56"/>
      <c r="EX1183" s="56"/>
      <c r="EY1183" s="56"/>
      <c r="EZ1183" s="56"/>
      <c r="FA1183" s="56"/>
      <c r="FB1183" s="56"/>
      <c r="FC1183" s="56"/>
      <c r="FD1183" s="56"/>
      <c r="FE1183" s="56"/>
      <c r="FF1183" s="56"/>
      <c r="FG1183" s="56"/>
      <c r="FH1183" s="56"/>
      <c r="FI1183" s="56"/>
      <c r="FJ1183" s="56"/>
      <c r="FK1183" s="56"/>
      <c r="FL1183" s="56"/>
      <c r="FM1183" s="56"/>
      <c r="FN1183" s="56"/>
      <c r="FO1183" s="56"/>
      <c r="FP1183" s="56"/>
      <c r="FQ1183" s="56"/>
      <c r="FR1183" s="56"/>
      <c r="FS1183" s="56"/>
      <c r="FT1183" s="56"/>
      <c r="FU1183" s="56"/>
      <c r="FV1183" s="56"/>
      <c r="FW1183" s="56"/>
      <c r="FX1183" s="56"/>
      <c r="FY1183" s="56"/>
      <c r="FZ1183" s="56"/>
      <c r="GA1183" s="56"/>
      <c r="GB1183" s="56"/>
      <c r="GC1183" s="56"/>
      <c r="GD1183" s="56"/>
      <c r="GE1183" s="56"/>
      <c r="GF1183" s="56"/>
    </row>
    <row r="1184" spans="1:48" s="18" customFormat="1" ht="16.5" customHeight="1">
      <c r="A1184" s="50"/>
      <c r="B1184" s="93" t="s">
        <v>669</v>
      </c>
      <c r="C1184" s="16"/>
      <c r="D1184" s="52"/>
      <c r="E1184" s="52"/>
      <c r="F1184" s="52"/>
      <c r="G1184" s="52"/>
      <c r="H1184" s="52"/>
      <c r="I1184" s="52"/>
      <c r="J1184" s="52"/>
      <c r="K1184" s="52"/>
      <c r="L1184" s="60">
        <f>SUM(L1185:L1187)</f>
        <v>7</v>
      </c>
      <c r="M1184" s="60">
        <f>SUM(M1185:M1187)</f>
        <v>8</v>
      </c>
      <c r="N1184" s="60">
        <f>SUM(N1185:N1187)</f>
        <v>9</v>
      </c>
      <c r="O1184" s="60">
        <f>SUM(O1185:O1187)</f>
        <v>8</v>
      </c>
      <c r="P1184" s="60">
        <f>SUM(P1185:P1187)</f>
        <v>8</v>
      </c>
      <c r="Q1184" s="23"/>
      <c r="R1184" s="23"/>
      <c r="S1184" s="17"/>
      <c r="T1184" s="47"/>
      <c r="U1184" s="47"/>
      <c r="V1184" s="47"/>
      <c r="W1184" s="47"/>
      <c r="X1184" s="47"/>
      <c r="Y1184" s="47"/>
      <c r="Z1184" s="47"/>
      <c r="AA1184" s="47"/>
      <c r="AB1184" s="47"/>
      <c r="AC1184" s="47"/>
      <c r="AD1184" s="47"/>
      <c r="AE1184" s="47"/>
      <c r="AF1184" s="47"/>
      <c r="AG1184" s="47"/>
      <c r="AH1184" s="47"/>
      <c r="AI1184" s="47"/>
      <c r="AJ1184" s="47"/>
      <c r="AK1184" s="47"/>
      <c r="AL1184" s="47"/>
      <c r="AM1184" s="47"/>
      <c r="AN1184" s="47"/>
      <c r="AO1184" s="47"/>
      <c r="AP1184" s="47"/>
      <c r="AQ1184" s="47"/>
      <c r="AR1184" s="47"/>
      <c r="AS1184" s="47"/>
      <c r="AT1184" s="47"/>
      <c r="AU1184" s="47"/>
      <c r="AV1184" s="47"/>
    </row>
    <row r="1185" spans="1:48" s="27" customFormat="1" ht="16.5" customHeight="1">
      <c r="A1185" s="12"/>
      <c r="B1185" s="105" t="s">
        <v>1030</v>
      </c>
      <c r="C1185" s="15" t="s">
        <v>1031</v>
      </c>
      <c r="D1185" s="51"/>
      <c r="E1185" s="51"/>
      <c r="F1185" s="51"/>
      <c r="G1185" s="51"/>
      <c r="H1185" s="51"/>
      <c r="I1185" s="51"/>
      <c r="J1185" s="51"/>
      <c r="K1185" s="51"/>
      <c r="L1185" s="40">
        <v>6</v>
      </c>
      <c r="M1185" s="40">
        <v>6</v>
      </c>
      <c r="N1185" s="40">
        <v>6</v>
      </c>
      <c r="O1185" s="40">
        <v>6</v>
      </c>
      <c r="P1185" s="40">
        <v>6</v>
      </c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</row>
    <row r="1186" spans="1:48" s="27" customFormat="1" ht="16.5" customHeight="1">
      <c r="A1186" s="12"/>
      <c r="B1186" s="97" t="s">
        <v>797</v>
      </c>
      <c r="C1186" s="29" t="s">
        <v>798</v>
      </c>
      <c r="D1186" s="51"/>
      <c r="E1186" s="51"/>
      <c r="F1186" s="51"/>
      <c r="G1186" s="51"/>
      <c r="H1186" s="51"/>
      <c r="I1186" s="51"/>
      <c r="J1186" s="51"/>
      <c r="K1186" s="51"/>
      <c r="L1186" s="40">
        <v>1</v>
      </c>
      <c r="M1186" s="40">
        <v>2</v>
      </c>
      <c r="N1186" s="40">
        <v>2</v>
      </c>
      <c r="O1186" s="40">
        <v>2</v>
      </c>
      <c r="P1186" s="40">
        <v>2</v>
      </c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</row>
    <row r="1187" spans="1:48" s="27" customFormat="1" ht="16.5" customHeight="1">
      <c r="A1187" s="12"/>
      <c r="B1187" s="97" t="s">
        <v>564</v>
      </c>
      <c r="C1187" s="29" t="s">
        <v>565</v>
      </c>
      <c r="D1187" s="51"/>
      <c r="E1187" s="51"/>
      <c r="F1187" s="51"/>
      <c r="G1187" s="51"/>
      <c r="H1187" s="51"/>
      <c r="I1187" s="51"/>
      <c r="J1187" s="51"/>
      <c r="K1187" s="51"/>
      <c r="L1187" s="40" t="s">
        <v>556</v>
      </c>
      <c r="M1187" s="40" t="s">
        <v>556</v>
      </c>
      <c r="N1187" s="40">
        <v>1</v>
      </c>
      <c r="O1187" s="40" t="s">
        <v>556</v>
      </c>
      <c r="P1187" s="40" t="s">
        <v>556</v>
      </c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</row>
    <row r="1188" spans="1:188" s="57" customFormat="1" ht="16.5" customHeight="1">
      <c r="A1188" s="13">
        <v>58</v>
      </c>
      <c r="B1188" s="92" t="s">
        <v>762</v>
      </c>
      <c r="C1188" s="45"/>
      <c r="D1188" s="44">
        <v>14</v>
      </c>
      <c r="E1188" s="44">
        <v>3</v>
      </c>
      <c r="F1188" s="44">
        <v>67</v>
      </c>
      <c r="G1188" s="44">
        <v>22</v>
      </c>
      <c r="H1188" s="44">
        <v>22</v>
      </c>
      <c r="I1188" s="44">
        <v>22</v>
      </c>
      <c r="J1188" s="44">
        <v>22</v>
      </c>
      <c r="K1188" s="44">
        <v>22</v>
      </c>
      <c r="L1188" s="44">
        <f>SUM(L1189,L1193)</f>
        <v>7</v>
      </c>
      <c r="M1188" s="44">
        <f>SUM(M1189,M1193)</f>
        <v>7</v>
      </c>
      <c r="N1188" s="44">
        <f>SUM(N1189,N1193)</f>
        <v>7</v>
      </c>
      <c r="O1188" s="44">
        <f>SUM(O1189,O1193)</f>
        <v>7</v>
      </c>
      <c r="P1188" s="44">
        <f>SUM(P1189,P1193)</f>
        <v>7</v>
      </c>
      <c r="Q1188" s="54" t="s">
        <v>649</v>
      </c>
      <c r="R1188" s="54">
        <v>2</v>
      </c>
      <c r="S1188" s="55" t="s">
        <v>1341</v>
      </c>
      <c r="T1188" s="56"/>
      <c r="U1188" s="56"/>
      <c r="V1188" s="56"/>
      <c r="W1188" s="56"/>
      <c r="X1188" s="56"/>
      <c r="Y1188" s="56"/>
      <c r="Z1188" s="56"/>
      <c r="AA1188" s="56"/>
      <c r="AB1188" s="56"/>
      <c r="AC1188" s="56"/>
      <c r="AD1188" s="56"/>
      <c r="AE1188" s="56"/>
      <c r="AF1188" s="56"/>
      <c r="AG1188" s="56"/>
      <c r="AH1188" s="56"/>
      <c r="AI1188" s="56"/>
      <c r="AJ1188" s="56"/>
      <c r="AK1188" s="56"/>
      <c r="AL1188" s="56"/>
      <c r="AM1188" s="56"/>
      <c r="AN1188" s="56"/>
      <c r="AO1188" s="56"/>
      <c r="AP1188" s="56"/>
      <c r="AQ1188" s="56"/>
      <c r="AR1188" s="56"/>
      <c r="AS1188" s="56"/>
      <c r="AT1188" s="56"/>
      <c r="AU1188" s="56"/>
      <c r="AV1188" s="56"/>
      <c r="AW1188" s="56"/>
      <c r="AX1188" s="56"/>
      <c r="AY1188" s="56"/>
      <c r="AZ1188" s="56"/>
      <c r="BA1188" s="56"/>
      <c r="BB1188" s="56"/>
      <c r="BC1188" s="56"/>
      <c r="BD1188" s="56"/>
      <c r="BE1188" s="56"/>
      <c r="BF1188" s="56"/>
      <c r="BG1188" s="56"/>
      <c r="BH1188" s="56"/>
      <c r="BI1188" s="56"/>
      <c r="BJ1188" s="56"/>
      <c r="BK1188" s="56"/>
      <c r="BL1188" s="56"/>
      <c r="BM1188" s="56"/>
      <c r="BN1188" s="56"/>
      <c r="BO1188" s="56"/>
      <c r="BP1188" s="56"/>
      <c r="BQ1188" s="56"/>
      <c r="BR1188" s="56"/>
      <c r="BS1188" s="56"/>
      <c r="BT1188" s="56"/>
      <c r="BU1188" s="56"/>
      <c r="BV1188" s="56"/>
      <c r="BW1188" s="56"/>
      <c r="BX1188" s="56"/>
      <c r="BY1188" s="56"/>
      <c r="BZ1188" s="56"/>
      <c r="CA1188" s="56"/>
      <c r="CB1188" s="56"/>
      <c r="CC1188" s="56"/>
      <c r="CD1188" s="56"/>
      <c r="CE1188" s="56"/>
      <c r="CF1188" s="56"/>
      <c r="CG1188" s="56"/>
      <c r="CH1188" s="56"/>
      <c r="CI1188" s="56"/>
      <c r="CJ1188" s="56"/>
      <c r="CK1188" s="56"/>
      <c r="CL1188" s="56"/>
      <c r="CM1188" s="56"/>
      <c r="CN1188" s="56"/>
      <c r="CO1188" s="56"/>
      <c r="CP1188" s="56"/>
      <c r="CQ1188" s="56"/>
      <c r="CR1188" s="56"/>
      <c r="CS1188" s="56"/>
      <c r="CT1188" s="56"/>
      <c r="CU1188" s="56"/>
      <c r="CV1188" s="56"/>
      <c r="CW1188" s="56"/>
      <c r="CX1188" s="56"/>
      <c r="CY1188" s="56"/>
      <c r="CZ1188" s="56"/>
      <c r="DA1188" s="56"/>
      <c r="DB1188" s="56"/>
      <c r="DC1188" s="56"/>
      <c r="DD1188" s="56"/>
      <c r="DE1188" s="56"/>
      <c r="DF1188" s="56"/>
      <c r="DG1188" s="56"/>
      <c r="DH1188" s="56"/>
      <c r="DI1188" s="56"/>
      <c r="DJ1188" s="56"/>
      <c r="DK1188" s="56"/>
      <c r="DL1188" s="56"/>
      <c r="DM1188" s="56"/>
      <c r="DN1188" s="56"/>
      <c r="DO1188" s="56"/>
      <c r="DP1188" s="56"/>
      <c r="DQ1188" s="56"/>
      <c r="DR1188" s="56"/>
      <c r="DS1188" s="56"/>
      <c r="DT1188" s="56"/>
      <c r="DU1188" s="56"/>
      <c r="DV1188" s="56"/>
      <c r="DW1188" s="56"/>
      <c r="DX1188" s="56"/>
      <c r="DY1188" s="56"/>
      <c r="DZ1188" s="56"/>
      <c r="EA1188" s="56"/>
      <c r="EB1188" s="56"/>
      <c r="EC1188" s="56"/>
      <c r="ED1188" s="56"/>
      <c r="EE1188" s="56"/>
      <c r="EF1188" s="56"/>
      <c r="EG1188" s="56"/>
      <c r="EH1188" s="56"/>
      <c r="EI1188" s="56"/>
      <c r="EJ1188" s="56"/>
      <c r="EK1188" s="56"/>
      <c r="EL1188" s="56"/>
      <c r="EM1188" s="56"/>
      <c r="EN1188" s="56"/>
      <c r="EO1188" s="56"/>
      <c r="EP1188" s="56"/>
      <c r="EQ1188" s="56"/>
      <c r="ER1188" s="56"/>
      <c r="ES1188" s="56"/>
      <c r="ET1188" s="56"/>
      <c r="EU1188" s="56"/>
      <c r="EV1188" s="56"/>
      <c r="EW1188" s="56"/>
      <c r="EX1188" s="56"/>
      <c r="EY1188" s="56"/>
      <c r="EZ1188" s="56"/>
      <c r="FA1188" s="56"/>
      <c r="FB1188" s="56"/>
      <c r="FC1188" s="56"/>
      <c r="FD1188" s="56"/>
      <c r="FE1188" s="56"/>
      <c r="FF1188" s="56"/>
      <c r="FG1188" s="56"/>
      <c r="FH1188" s="56"/>
      <c r="FI1188" s="56"/>
      <c r="FJ1188" s="56"/>
      <c r="FK1188" s="56"/>
      <c r="FL1188" s="56"/>
      <c r="FM1188" s="56"/>
      <c r="FN1188" s="56"/>
      <c r="FO1188" s="56"/>
      <c r="FP1188" s="56"/>
      <c r="FQ1188" s="56"/>
      <c r="FR1188" s="56"/>
      <c r="FS1188" s="56"/>
      <c r="FT1188" s="56"/>
      <c r="FU1188" s="56"/>
      <c r="FV1188" s="56"/>
      <c r="FW1188" s="56"/>
      <c r="FX1188" s="56"/>
      <c r="FY1188" s="56"/>
      <c r="FZ1188" s="56"/>
      <c r="GA1188" s="56"/>
      <c r="GB1188" s="56"/>
      <c r="GC1188" s="56"/>
      <c r="GD1188" s="56"/>
      <c r="GE1188" s="56"/>
      <c r="GF1188" s="56"/>
    </row>
    <row r="1189" spans="1:48" s="18" customFormat="1" ht="16.5" customHeight="1">
      <c r="A1189" s="50"/>
      <c r="B1189" s="93" t="s">
        <v>669</v>
      </c>
      <c r="C1189" s="16"/>
      <c r="D1189" s="52"/>
      <c r="E1189" s="52"/>
      <c r="F1189" s="52"/>
      <c r="G1189" s="52"/>
      <c r="H1189" s="52"/>
      <c r="I1189" s="52"/>
      <c r="J1189" s="52"/>
      <c r="K1189" s="52"/>
      <c r="L1189" s="60">
        <f>SUM(L1190:L1192)</f>
        <v>5</v>
      </c>
      <c r="M1189" s="60">
        <f>SUM(M1190:M1192)</f>
        <v>5</v>
      </c>
      <c r="N1189" s="60">
        <f>SUM(N1190:N1192)</f>
        <v>5</v>
      </c>
      <c r="O1189" s="60">
        <f>SUM(O1190:O1192)</f>
        <v>5</v>
      </c>
      <c r="P1189" s="60">
        <f>SUM(P1190:P1192)</f>
        <v>5</v>
      </c>
      <c r="Q1189" s="23"/>
      <c r="R1189" s="23"/>
      <c r="S1189" s="17"/>
      <c r="T1189" s="47"/>
      <c r="U1189" s="47"/>
      <c r="V1189" s="47"/>
      <c r="W1189" s="47"/>
      <c r="X1189" s="47"/>
      <c r="Y1189" s="47"/>
      <c r="Z1189" s="47"/>
      <c r="AA1189" s="47"/>
      <c r="AB1189" s="47"/>
      <c r="AC1189" s="47"/>
      <c r="AD1189" s="47"/>
      <c r="AE1189" s="47"/>
      <c r="AF1189" s="47"/>
      <c r="AG1189" s="47"/>
      <c r="AH1189" s="47"/>
      <c r="AI1189" s="47"/>
      <c r="AJ1189" s="47"/>
      <c r="AK1189" s="47"/>
      <c r="AL1189" s="47"/>
      <c r="AM1189" s="47"/>
      <c r="AN1189" s="47"/>
      <c r="AO1189" s="47"/>
      <c r="AP1189" s="47"/>
      <c r="AQ1189" s="47"/>
      <c r="AR1189" s="47"/>
      <c r="AS1189" s="47"/>
      <c r="AT1189" s="47"/>
      <c r="AU1189" s="47"/>
      <c r="AV1189" s="47"/>
    </row>
    <row r="1190" spans="1:48" s="27" customFormat="1" ht="16.5" customHeight="1">
      <c r="A1190" s="12"/>
      <c r="B1190" s="111" t="s">
        <v>748</v>
      </c>
      <c r="C1190" s="15" t="s">
        <v>749</v>
      </c>
      <c r="D1190" s="51"/>
      <c r="E1190" s="51"/>
      <c r="F1190" s="51"/>
      <c r="G1190" s="51">
        <v>2</v>
      </c>
      <c r="H1190" s="51">
        <v>2</v>
      </c>
      <c r="I1190" s="51">
        <v>2</v>
      </c>
      <c r="J1190" s="51">
        <v>2</v>
      </c>
      <c r="K1190" s="51">
        <v>2</v>
      </c>
      <c r="L1190" s="40">
        <v>1</v>
      </c>
      <c r="M1190" s="40">
        <v>1</v>
      </c>
      <c r="N1190" s="40">
        <v>1</v>
      </c>
      <c r="O1190" s="40">
        <v>1</v>
      </c>
      <c r="P1190" s="40">
        <v>1</v>
      </c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</row>
    <row r="1191" spans="1:48" s="27" customFormat="1" ht="16.5" customHeight="1">
      <c r="A1191" s="12"/>
      <c r="B1191" s="111" t="s">
        <v>750</v>
      </c>
      <c r="C1191" s="29" t="s">
        <v>1313</v>
      </c>
      <c r="D1191" s="51"/>
      <c r="E1191" s="51"/>
      <c r="F1191" s="51"/>
      <c r="G1191" s="51">
        <v>6</v>
      </c>
      <c r="H1191" s="51">
        <v>6</v>
      </c>
      <c r="I1191" s="51">
        <v>6</v>
      </c>
      <c r="J1191" s="51">
        <v>6</v>
      </c>
      <c r="K1191" s="51">
        <v>6</v>
      </c>
      <c r="L1191" s="40">
        <v>3</v>
      </c>
      <c r="M1191" s="40">
        <v>3</v>
      </c>
      <c r="N1191" s="40">
        <v>3</v>
      </c>
      <c r="O1191" s="40">
        <v>3</v>
      </c>
      <c r="P1191" s="40">
        <v>3</v>
      </c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</row>
    <row r="1192" spans="1:48" s="27" customFormat="1" ht="16.5" customHeight="1">
      <c r="A1192" s="12"/>
      <c r="B1192" s="97" t="s">
        <v>751</v>
      </c>
      <c r="C1192" s="29" t="s">
        <v>752</v>
      </c>
      <c r="D1192" s="51"/>
      <c r="E1192" s="51"/>
      <c r="F1192" s="51"/>
      <c r="G1192" s="51">
        <v>2</v>
      </c>
      <c r="H1192" s="51">
        <v>2</v>
      </c>
      <c r="I1192" s="51">
        <v>2</v>
      </c>
      <c r="J1192" s="51">
        <v>2</v>
      </c>
      <c r="K1192" s="51">
        <v>2</v>
      </c>
      <c r="L1192" s="40">
        <v>1</v>
      </c>
      <c r="M1192" s="40">
        <v>1</v>
      </c>
      <c r="N1192" s="40">
        <v>1</v>
      </c>
      <c r="O1192" s="40">
        <v>1</v>
      </c>
      <c r="P1192" s="40">
        <v>1</v>
      </c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</row>
    <row r="1193" spans="1:48" s="18" customFormat="1" ht="16.5" customHeight="1">
      <c r="A1193" s="50"/>
      <c r="B1193" s="93" t="s">
        <v>670</v>
      </c>
      <c r="C1193" s="16"/>
      <c r="D1193" s="52"/>
      <c r="E1193" s="52"/>
      <c r="F1193" s="52"/>
      <c r="G1193" s="52"/>
      <c r="H1193" s="52"/>
      <c r="I1193" s="52"/>
      <c r="J1193" s="52"/>
      <c r="K1193" s="52"/>
      <c r="L1193" s="60">
        <f>SUM(L1194:L1194)</f>
        <v>2</v>
      </c>
      <c r="M1193" s="60">
        <f>SUM(M1194:M1194)</f>
        <v>2</v>
      </c>
      <c r="N1193" s="60">
        <f>SUM(N1194:N1194)</f>
        <v>2</v>
      </c>
      <c r="O1193" s="60">
        <f>SUM(O1194:O1194)</f>
        <v>2</v>
      </c>
      <c r="P1193" s="60">
        <f>SUM(P1194:P1194)</f>
        <v>2</v>
      </c>
      <c r="Q1193" s="23"/>
      <c r="R1193" s="23"/>
      <c r="S1193" s="17"/>
      <c r="T1193" s="47"/>
      <c r="U1193" s="47"/>
      <c r="V1193" s="47"/>
      <c r="W1193" s="47"/>
      <c r="X1193" s="47"/>
      <c r="Y1193" s="47"/>
      <c r="Z1193" s="47"/>
      <c r="AA1193" s="47"/>
      <c r="AB1193" s="47"/>
      <c r="AC1193" s="47"/>
      <c r="AD1193" s="47"/>
      <c r="AE1193" s="47"/>
      <c r="AF1193" s="47"/>
      <c r="AG1193" s="47"/>
      <c r="AH1193" s="47"/>
      <c r="AI1193" s="47"/>
      <c r="AJ1193" s="47"/>
      <c r="AK1193" s="47"/>
      <c r="AL1193" s="47"/>
      <c r="AM1193" s="47"/>
      <c r="AN1193" s="47"/>
      <c r="AO1193" s="47"/>
      <c r="AP1193" s="47"/>
      <c r="AQ1193" s="47"/>
      <c r="AR1193" s="47"/>
      <c r="AS1193" s="47"/>
      <c r="AT1193" s="47"/>
      <c r="AU1193" s="47"/>
      <c r="AV1193" s="47"/>
    </row>
    <row r="1194" spans="1:48" s="27" customFormat="1" ht="16.5" customHeight="1">
      <c r="A1194" s="12"/>
      <c r="B1194" s="105" t="s">
        <v>570</v>
      </c>
      <c r="C1194" s="15" t="s">
        <v>571</v>
      </c>
      <c r="D1194" s="51"/>
      <c r="E1194" s="51"/>
      <c r="F1194" s="51"/>
      <c r="G1194" s="51">
        <v>2</v>
      </c>
      <c r="H1194" s="51">
        <v>3</v>
      </c>
      <c r="I1194" s="51">
        <v>3</v>
      </c>
      <c r="J1194" s="51">
        <v>3</v>
      </c>
      <c r="K1194" s="51">
        <v>3</v>
      </c>
      <c r="L1194" s="40">
        <v>2</v>
      </c>
      <c r="M1194" s="40">
        <v>2</v>
      </c>
      <c r="N1194" s="40">
        <v>2</v>
      </c>
      <c r="O1194" s="40">
        <v>2</v>
      </c>
      <c r="P1194" s="40">
        <v>2</v>
      </c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</row>
    <row r="1195" spans="1:188" s="57" customFormat="1" ht="18" customHeight="1">
      <c r="A1195" s="13">
        <v>59</v>
      </c>
      <c r="B1195" s="108" t="s">
        <v>148</v>
      </c>
      <c r="C1195" s="45"/>
      <c r="D1195" s="44">
        <v>80</v>
      </c>
      <c r="E1195" s="44">
        <v>14</v>
      </c>
      <c r="F1195" s="44"/>
      <c r="G1195" s="44">
        <v>85</v>
      </c>
      <c r="H1195" s="44">
        <v>86</v>
      </c>
      <c r="I1195" s="44">
        <v>87</v>
      </c>
      <c r="J1195" s="44">
        <v>88</v>
      </c>
      <c r="K1195" s="44">
        <v>89</v>
      </c>
      <c r="L1195" s="44">
        <v>14</v>
      </c>
      <c r="M1195" s="44">
        <v>3</v>
      </c>
      <c r="N1195" s="44">
        <v>2</v>
      </c>
      <c r="O1195" s="44">
        <v>1</v>
      </c>
      <c r="P1195" s="44">
        <v>1</v>
      </c>
      <c r="Q1195" s="54" t="s">
        <v>649</v>
      </c>
      <c r="R1195" s="54">
        <v>2</v>
      </c>
      <c r="S1195" s="55" t="s">
        <v>416</v>
      </c>
      <c r="T1195" s="56"/>
      <c r="U1195" s="56"/>
      <c r="V1195" s="56"/>
      <c r="W1195" s="56"/>
      <c r="X1195" s="56"/>
      <c r="Y1195" s="56"/>
      <c r="Z1195" s="56"/>
      <c r="AA1195" s="56"/>
      <c r="AB1195" s="56"/>
      <c r="AC1195" s="56"/>
      <c r="AD1195" s="56"/>
      <c r="AE1195" s="56"/>
      <c r="AF1195" s="56"/>
      <c r="AG1195" s="56"/>
      <c r="AH1195" s="56"/>
      <c r="AI1195" s="56"/>
      <c r="AJ1195" s="56"/>
      <c r="AK1195" s="56"/>
      <c r="AL1195" s="56"/>
      <c r="AM1195" s="56"/>
      <c r="AN1195" s="56"/>
      <c r="AO1195" s="56"/>
      <c r="AP1195" s="56"/>
      <c r="AQ1195" s="56"/>
      <c r="AR1195" s="56"/>
      <c r="AS1195" s="56"/>
      <c r="AT1195" s="56"/>
      <c r="AU1195" s="56"/>
      <c r="AV1195" s="56"/>
      <c r="AW1195" s="56"/>
      <c r="AX1195" s="56"/>
      <c r="AY1195" s="56"/>
      <c r="AZ1195" s="56"/>
      <c r="BA1195" s="56"/>
      <c r="BB1195" s="56"/>
      <c r="BC1195" s="56"/>
      <c r="BD1195" s="56"/>
      <c r="BE1195" s="56"/>
      <c r="BF1195" s="56"/>
      <c r="BG1195" s="56"/>
      <c r="BH1195" s="56"/>
      <c r="BI1195" s="56"/>
      <c r="BJ1195" s="56"/>
      <c r="BK1195" s="56"/>
      <c r="BL1195" s="56"/>
      <c r="BM1195" s="56"/>
      <c r="BN1195" s="56"/>
      <c r="BO1195" s="56"/>
      <c r="BP1195" s="56"/>
      <c r="BQ1195" s="56"/>
      <c r="BR1195" s="56"/>
      <c r="BS1195" s="56"/>
      <c r="BT1195" s="56"/>
      <c r="BU1195" s="56"/>
      <c r="BV1195" s="56"/>
      <c r="BW1195" s="56"/>
      <c r="BX1195" s="56"/>
      <c r="BY1195" s="56"/>
      <c r="BZ1195" s="56"/>
      <c r="CA1195" s="56"/>
      <c r="CB1195" s="56"/>
      <c r="CC1195" s="56"/>
      <c r="CD1195" s="56"/>
      <c r="CE1195" s="56"/>
      <c r="CF1195" s="56"/>
      <c r="CG1195" s="56"/>
      <c r="CH1195" s="56"/>
      <c r="CI1195" s="56"/>
      <c r="CJ1195" s="56"/>
      <c r="CK1195" s="56"/>
      <c r="CL1195" s="56"/>
      <c r="CM1195" s="56"/>
      <c r="CN1195" s="56"/>
      <c r="CO1195" s="56"/>
      <c r="CP1195" s="56"/>
      <c r="CQ1195" s="56"/>
      <c r="CR1195" s="56"/>
      <c r="CS1195" s="56"/>
      <c r="CT1195" s="56"/>
      <c r="CU1195" s="56"/>
      <c r="CV1195" s="56"/>
      <c r="CW1195" s="56"/>
      <c r="CX1195" s="56"/>
      <c r="CY1195" s="56"/>
      <c r="CZ1195" s="56"/>
      <c r="DA1195" s="56"/>
      <c r="DB1195" s="56"/>
      <c r="DC1195" s="56"/>
      <c r="DD1195" s="56"/>
      <c r="DE1195" s="56"/>
      <c r="DF1195" s="56"/>
      <c r="DG1195" s="56"/>
      <c r="DH1195" s="56"/>
      <c r="DI1195" s="56"/>
      <c r="DJ1195" s="56"/>
      <c r="DK1195" s="56"/>
      <c r="DL1195" s="56"/>
      <c r="DM1195" s="56"/>
      <c r="DN1195" s="56"/>
      <c r="DO1195" s="56"/>
      <c r="DP1195" s="56"/>
      <c r="DQ1195" s="56"/>
      <c r="DR1195" s="56"/>
      <c r="DS1195" s="56"/>
      <c r="DT1195" s="56"/>
      <c r="DU1195" s="56"/>
      <c r="DV1195" s="56"/>
      <c r="DW1195" s="56"/>
      <c r="DX1195" s="56"/>
      <c r="DY1195" s="56"/>
      <c r="DZ1195" s="56"/>
      <c r="EA1195" s="56"/>
      <c r="EB1195" s="56"/>
      <c r="EC1195" s="56"/>
      <c r="ED1195" s="56"/>
      <c r="EE1195" s="56"/>
      <c r="EF1195" s="56"/>
      <c r="EG1195" s="56"/>
      <c r="EH1195" s="56"/>
      <c r="EI1195" s="56"/>
      <c r="EJ1195" s="56"/>
      <c r="EK1195" s="56"/>
      <c r="EL1195" s="56"/>
      <c r="EM1195" s="56"/>
      <c r="EN1195" s="56"/>
      <c r="EO1195" s="56"/>
      <c r="EP1195" s="56"/>
      <c r="EQ1195" s="56"/>
      <c r="ER1195" s="56"/>
      <c r="ES1195" s="56"/>
      <c r="ET1195" s="56"/>
      <c r="EU1195" s="56"/>
      <c r="EV1195" s="56"/>
      <c r="EW1195" s="56"/>
      <c r="EX1195" s="56"/>
      <c r="EY1195" s="56"/>
      <c r="EZ1195" s="56"/>
      <c r="FA1195" s="56"/>
      <c r="FB1195" s="56"/>
      <c r="FC1195" s="56"/>
      <c r="FD1195" s="56"/>
      <c r="FE1195" s="56"/>
      <c r="FF1195" s="56"/>
      <c r="FG1195" s="56"/>
      <c r="FH1195" s="56"/>
      <c r="FI1195" s="56"/>
      <c r="FJ1195" s="56"/>
      <c r="FK1195" s="56"/>
      <c r="FL1195" s="56"/>
      <c r="FM1195" s="56"/>
      <c r="FN1195" s="56"/>
      <c r="FO1195" s="56"/>
      <c r="FP1195" s="56"/>
      <c r="FQ1195" s="56"/>
      <c r="FR1195" s="56"/>
      <c r="FS1195" s="56"/>
      <c r="FT1195" s="56"/>
      <c r="FU1195" s="56"/>
      <c r="FV1195" s="56"/>
      <c r="FW1195" s="56"/>
      <c r="FX1195" s="56"/>
      <c r="FY1195" s="56"/>
      <c r="FZ1195" s="56"/>
      <c r="GA1195" s="56"/>
      <c r="GB1195" s="56"/>
      <c r="GC1195" s="56"/>
      <c r="GD1195" s="56"/>
      <c r="GE1195" s="56"/>
      <c r="GF1195" s="56"/>
    </row>
    <row r="1196" spans="1:48" s="18" customFormat="1" ht="15.75" customHeight="1">
      <c r="A1196" s="50"/>
      <c r="B1196" s="93" t="s">
        <v>669</v>
      </c>
      <c r="C1196" s="16"/>
      <c r="D1196" s="52"/>
      <c r="E1196" s="52"/>
      <c r="F1196" s="52"/>
      <c r="G1196" s="52"/>
      <c r="H1196" s="52"/>
      <c r="I1196" s="52"/>
      <c r="J1196" s="52"/>
      <c r="K1196" s="52"/>
      <c r="L1196" s="60">
        <f>SUM(L1197:L1202)</f>
        <v>10</v>
      </c>
      <c r="M1196" s="60">
        <f>SUM(M1197:M1202)</f>
        <v>3</v>
      </c>
      <c r="N1196" s="60">
        <f>SUM(N1197:N1202)</f>
        <v>2</v>
      </c>
      <c r="O1196" s="60">
        <f>SUM(O1197:O1202)</f>
        <v>1</v>
      </c>
      <c r="P1196" s="60">
        <f>SUM(P1197:P1202)</f>
        <v>1</v>
      </c>
      <c r="Q1196" s="23"/>
      <c r="R1196" s="23"/>
      <c r="S1196" s="17"/>
      <c r="T1196" s="47"/>
      <c r="U1196" s="47"/>
      <c r="V1196" s="47"/>
      <c r="W1196" s="47"/>
      <c r="X1196" s="47"/>
      <c r="Y1196" s="47"/>
      <c r="Z1196" s="47"/>
      <c r="AA1196" s="47"/>
      <c r="AB1196" s="47"/>
      <c r="AC1196" s="47"/>
      <c r="AD1196" s="47"/>
      <c r="AE1196" s="47"/>
      <c r="AF1196" s="47"/>
      <c r="AG1196" s="47"/>
      <c r="AH1196" s="47"/>
      <c r="AI1196" s="47"/>
      <c r="AJ1196" s="47"/>
      <c r="AK1196" s="47"/>
      <c r="AL1196" s="47"/>
      <c r="AM1196" s="47"/>
      <c r="AN1196" s="47"/>
      <c r="AO1196" s="47"/>
      <c r="AP1196" s="47"/>
      <c r="AQ1196" s="47"/>
      <c r="AR1196" s="47"/>
      <c r="AS1196" s="47"/>
      <c r="AT1196" s="47"/>
      <c r="AU1196" s="47"/>
      <c r="AV1196" s="47"/>
    </row>
    <row r="1197" spans="1:187" s="5" customFormat="1" ht="18" customHeight="1">
      <c r="A1197" s="12"/>
      <c r="B1197" s="105" t="s">
        <v>421</v>
      </c>
      <c r="C1197" s="15" t="s">
        <v>1315</v>
      </c>
      <c r="D1197" s="40"/>
      <c r="E1197" s="40"/>
      <c r="F1197" s="40"/>
      <c r="G1197" s="40">
        <v>22</v>
      </c>
      <c r="H1197" s="40">
        <v>23</v>
      </c>
      <c r="I1197" s="40">
        <v>24</v>
      </c>
      <c r="J1197" s="40">
        <v>25</v>
      </c>
      <c r="K1197" s="40">
        <v>26</v>
      </c>
      <c r="L1197" s="40">
        <v>3</v>
      </c>
      <c r="M1197" s="40">
        <v>1</v>
      </c>
      <c r="N1197" s="40">
        <v>1</v>
      </c>
      <c r="O1197" s="40">
        <v>1</v>
      </c>
      <c r="P1197" s="40">
        <v>1</v>
      </c>
      <c r="Q1197" s="73" t="s">
        <v>556</v>
      </c>
      <c r="R1197" s="40" t="s">
        <v>556</v>
      </c>
      <c r="S1197" s="40" t="s">
        <v>556</v>
      </c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  <c r="BK1197" s="4"/>
      <c r="BL1197" s="4"/>
      <c r="BM1197" s="4"/>
      <c r="BN1197" s="4"/>
      <c r="BO1197" s="4"/>
      <c r="BP1197" s="4"/>
      <c r="BQ1197" s="4"/>
      <c r="BR1197" s="4"/>
      <c r="BS1197" s="4"/>
      <c r="BT1197" s="4"/>
      <c r="BU1197" s="4"/>
      <c r="BV1197" s="4"/>
      <c r="BW1197" s="4"/>
      <c r="BX1197" s="4"/>
      <c r="BY1197" s="4"/>
      <c r="BZ1197" s="4"/>
      <c r="CA1197" s="4"/>
      <c r="CB1197" s="4"/>
      <c r="CC1197" s="4"/>
      <c r="CD1197" s="4"/>
      <c r="CE1197" s="4"/>
      <c r="CF1197" s="4"/>
      <c r="CG1197" s="4"/>
      <c r="CH1197" s="4"/>
      <c r="CI1197" s="4"/>
      <c r="CJ1197" s="4"/>
      <c r="CK1197" s="4"/>
      <c r="CL1197" s="4"/>
      <c r="CM1197" s="4"/>
      <c r="CN1197" s="4"/>
      <c r="CO1197" s="4"/>
      <c r="CP1197" s="4"/>
      <c r="CQ1197" s="4"/>
      <c r="CR1197" s="4"/>
      <c r="CS1197" s="4"/>
      <c r="CT1197" s="4"/>
      <c r="CU1197" s="4"/>
      <c r="CV1197" s="4"/>
      <c r="CW1197" s="4"/>
      <c r="CX1197" s="4"/>
      <c r="CY1197" s="4"/>
      <c r="CZ1197" s="4"/>
      <c r="DA1197" s="4"/>
      <c r="DB1197" s="4"/>
      <c r="DC1197" s="4"/>
      <c r="DD1197" s="4"/>
      <c r="DE1197" s="4"/>
      <c r="DF1197" s="4"/>
      <c r="DG1197" s="4"/>
      <c r="DH1197" s="4"/>
      <c r="DI1197" s="4"/>
      <c r="DJ1197" s="4"/>
      <c r="DK1197" s="4"/>
      <c r="DL1197" s="4"/>
      <c r="DM1197" s="4"/>
      <c r="DN1197" s="4"/>
      <c r="DO1197" s="4"/>
      <c r="DP1197" s="4"/>
      <c r="DQ1197" s="4"/>
      <c r="DR1197" s="4"/>
      <c r="DS1197" s="4"/>
      <c r="DT1197" s="4"/>
      <c r="DU1197" s="4"/>
      <c r="DV1197" s="4"/>
      <c r="DW1197" s="4"/>
      <c r="DX1197" s="4"/>
      <c r="DY1197" s="4"/>
      <c r="DZ1197" s="4"/>
      <c r="EA1197" s="4"/>
      <c r="EB1197" s="4"/>
      <c r="EC1197" s="4"/>
      <c r="ED1197" s="4"/>
      <c r="EE1197" s="4"/>
      <c r="EF1197" s="4"/>
      <c r="EG1197" s="4"/>
      <c r="EH1197" s="4"/>
      <c r="EI1197" s="4"/>
      <c r="EJ1197" s="4"/>
      <c r="EK1197" s="4"/>
      <c r="EL1197" s="4"/>
      <c r="EM1197" s="4"/>
      <c r="EN1197" s="4"/>
      <c r="EO1197" s="4"/>
      <c r="EP1197" s="4"/>
      <c r="EQ1197" s="4"/>
      <c r="ER1197" s="4"/>
      <c r="ES1197" s="4"/>
      <c r="ET1197" s="4"/>
      <c r="EU1197" s="4"/>
      <c r="EV1197" s="4"/>
      <c r="EW1197" s="4"/>
      <c r="EX1197" s="4"/>
      <c r="EY1197" s="4"/>
      <c r="EZ1197" s="4"/>
      <c r="FA1197" s="4"/>
      <c r="FB1197" s="4"/>
      <c r="FC1197" s="4"/>
      <c r="FD1197" s="4"/>
      <c r="FE1197" s="4"/>
      <c r="FF1197" s="4"/>
      <c r="FG1197" s="4"/>
      <c r="FH1197" s="4"/>
      <c r="FI1197" s="4"/>
      <c r="FJ1197" s="4"/>
      <c r="FK1197" s="4"/>
      <c r="FL1197" s="4"/>
      <c r="FM1197" s="4"/>
      <c r="FN1197" s="4"/>
      <c r="FO1197" s="4"/>
      <c r="FP1197" s="4"/>
      <c r="FQ1197" s="4"/>
      <c r="FR1197" s="4"/>
      <c r="FS1197" s="4"/>
      <c r="FT1197" s="4"/>
      <c r="FU1197" s="4"/>
      <c r="FV1197" s="4"/>
      <c r="FW1197" s="4"/>
      <c r="FX1197" s="4"/>
      <c r="FY1197" s="4"/>
      <c r="FZ1197" s="4"/>
      <c r="GA1197" s="4"/>
      <c r="GB1197" s="4"/>
      <c r="GC1197" s="4"/>
      <c r="GD1197" s="4"/>
      <c r="GE1197" s="4"/>
    </row>
    <row r="1198" spans="1:187" s="5" customFormat="1" ht="17.25" customHeight="1">
      <c r="A1198" s="12"/>
      <c r="B1198" s="97" t="s">
        <v>784</v>
      </c>
      <c r="C1198" s="15" t="s">
        <v>785</v>
      </c>
      <c r="D1198" s="40"/>
      <c r="E1198" s="40"/>
      <c r="F1198" s="40"/>
      <c r="G1198" s="40">
        <v>9</v>
      </c>
      <c r="H1198" s="40">
        <v>9</v>
      </c>
      <c r="I1198" s="40">
        <v>10</v>
      </c>
      <c r="J1198" s="40">
        <v>10</v>
      </c>
      <c r="K1198" s="40">
        <v>10</v>
      </c>
      <c r="L1198" s="40">
        <v>1</v>
      </c>
      <c r="M1198" s="40" t="s">
        <v>556</v>
      </c>
      <c r="N1198" s="40">
        <v>1</v>
      </c>
      <c r="O1198" s="40" t="s">
        <v>556</v>
      </c>
      <c r="P1198" s="40" t="s">
        <v>556</v>
      </c>
      <c r="Q1198" s="73"/>
      <c r="R1198" s="40"/>
      <c r="S1198" s="40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  <c r="BK1198" s="4"/>
      <c r="BL1198" s="4"/>
      <c r="BM1198" s="4"/>
      <c r="BN1198" s="4"/>
      <c r="BO1198" s="4"/>
      <c r="BP1198" s="4"/>
      <c r="BQ1198" s="4"/>
      <c r="BR1198" s="4"/>
      <c r="BS1198" s="4"/>
      <c r="BT1198" s="4"/>
      <c r="BU1198" s="4"/>
      <c r="BV1198" s="4"/>
      <c r="BW1198" s="4"/>
      <c r="BX1198" s="4"/>
      <c r="BY1198" s="4"/>
      <c r="BZ1198" s="4"/>
      <c r="CA1198" s="4"/>
      <c r="CB1198" s="4"/>
      <c r="CC1198" s="4"/>
      <c r="CD1198" s="4"/>
      <c r="CE1198" s="4"/>
      <c r="CF1198" s="4"/>
      <c r="CG1198" s="4"/>
      <c r="CH1198" s="4"/>
      <c r="CI1198" s="4"/>
      <c r="CJ1198" s="4"/>
      <c r="CK1198" s="4"/>
      <c r="CL1198" s="4"/>
      <c r="CM1198" s="4"/>
      <c r="CN1198" s="4"/>
      <c r="CO1198" s="4"/>
      <c r="CP1198" s="4"/>
      <c r="CQ1198" s="4"/>
      <c r="CR1198" s="4"/>
      <c r="CS1198" s="4"/>
      <c r="CT1198" s="4"/>
      <c r="CU1198" s="4"/>
      <c r="CV1198" s="4"/>
      <c r="CW1198" s="4"/>
      <c r="CX1198" s="4"/>
      <c r="CY1198" s="4"/>
      <c r="CZ1198" s="4"/>
      <c r="DA1198" s="4"/>
      <c r="DB1198" s="4"/>
      <c r="DC1198" s="4"/>
      <c r="DD1198" s="4"/>
      <c r="DE1198" s="4"/>
      <c r="DF1198" s="4"/>
      <c r="DG1198" s="4"/>
      <c r="DH1198" s="4"/>
      <c r="DI1198" s="4"/>
      <c r="DJ1198" s="4"/>
      <c r="DK1198" s="4"/>
      <c r="DL1198" s="4"/>
      <c r="DM1198" s="4"/>
      <c r="DN1198" s="4"/>
      <c r="DO1198" s="4"/>
      <c r="DP1198" s="4"/>
      <c r="DQ1198" s="4"/>
      <c r="DR1198" s="4"/>
      <c r="DS1198" s="4"/>
      <c r="DT1198" s="4"/>
      <c r="DU1198" s="4"/>
      <c r="DV1198" s="4"/>
      <c r="DW1198" s="4"/>
      <c r="DX1198" s="4"/>
      <c r="DY1198" s="4"/>
      <c r="DZ1198" s="4"/>
      <c r="EA1198" s="4"/>
      <c r="EB1198" s="4"/>
      <c r="EC1198" s="4"/>
      <c r="ED1198" s="4"/>
      <c r="EE1198" s="4"/>
      <c r="EF1198" s="4"/>
      <c r="EG1198" s="4"/>
      <c r="EH1198" s="4"/>
      <c r="EI1198" s="4"/>
      <c r="EJ1198" s="4"/>
      <c r="EK1198" s="4"/>
      <c r="EL1198" s="4"/>
      <c r="EM1198" s="4"/>
      <c r="EN1198" s="4"/>
      <c r="EO1198" s="4"/>
      <c r="EP1198" s="4"/>
      <c r="EQ1198" s="4"/>
      <c r="ER1198" s="4"/>
      <c r="ES1198" s="4"/>
      <c r="ET1198" s="4"/>
      <c r="EU1198" s="4"/>
      <c r="EV1198" s="4"/>
      <c r="EW1198" s="4"/>
      <c r="EX1198" s="4"/>
      <c r="EY1198" s="4"/>
      <c r="EZ1198" s="4"/>
      <c r="FA1198" s="4"/>
      <c r="FB1198" s="4"/>
      <c r="FC1198" s="4"/>
      <c r="FD1198" s="4"/>
      <c r="FE1198" s="4"/>
      <c r="FF1198" s="4"/>
      <c r="FG1198" s="4"/>
      <c r="FH1198" s="4"/>
      <c r="FI1198" s="4"/>
      <c r="FJ1198" s="4"/>
      <c r="FK1198" s="4"/>
      <c r="FL1198" s="4"/>
      <c r="FM1198" s="4"/>
      <c r="FN1198" s="4"/>
      <c r="FO1198" s="4"/>
      <c r="FP1198" s="4"/>
      <c r="FQ1198" s="4"/>
      <c r="FR1198" s="4"/>
      <c r="FS1198" s="4"/>
      <c r="FT1198" s="4"/>
      <c r="FU1198" s="4"/>
      <c r="FV1198" s="4"/>
      <c r="FW1198" s="4"/>
      <c r="FX1198" s="4"/>
      <c r="FY1198" s="4"/>
      <c r="FZ1198" s="4"/>
      <c r="GA1198" s="4"/>
      <c r="GB1198" s="4"/>
      <c r="GC1198" s="4"/>
      <c r="GD1198" s="4"/>
      <c r="GE1198" s="4"/>
    </row>
    <row r="1199" spans="1:187" s="5" customFormat="1" ht="17.25" customHeight="1">
      <c r="A1199" s="12"/>
      <c r="B1199" s="97" t="s">
        <v>521</v>
      </c>
      <c r="C1199" s="29" t="s">
        <v>522</v>
      </c>
      <c r="D1199" s="40"/>
      <c r="E1199" s="40"/>
      <c r="F1199" s="40"/>
      <c r="G1199" s="40">
        <v>14</v>
      </c>
      <c r="H1199" s="40">
        <v>14</v>
      </c>
      <c r="I1199" s="40">
        <v>14</v>
      </c>
      <c r="J1199" s="40">
        <v>14</v>
      </c>
      <c r="K1199" s="40">
        <v>14</v>
      </c>
      <c r="L1199" s="40">
        <v>1</v>
      </c>
      <c r="M1199" s="40">
        <v>1</v>
      </c>
      <c r="N1199" s="40" t="s">
        <v>556</v>
      </c>
      <c r="O1199" s="40" t="s">
        <v>556</v>
      </c>
      <c r="P1199" s="40" t="s">
        <v>556</v>
      </c>
      <c r="Q1199" s="73"/>
      <c r="R1199" s="40"/>
      <c r="S1199" s="40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  <c r="BK1199" s="4"/>
      <c r="BL1199" s="4"/>
      <c r="BM1199" s="4"/>
      <c r="BN1199" s="4"/>
      <c r="BO1199" s="4"/>
      <c r="BP1199" s="4"/>
      <c r="BQ1199" s="4"/>
      <c r="BR1199" s="4"/>
      <c r="BS1199" s="4"/>
      <c r="BT1199" s="4"/>
      <c r="BU1199" s="4"/>
      <c r="BV1199" s="4"/>
      <c r="BW1199" s="4"/>
      <c r="BX1199" s="4"/>
      <c r="BY1199" s="4"/>
      <c r="BZ1199" s="4"/>
      <c r="CA1199" s="4"/>
      <c r="CB1199" s="4"/>
      <c r="CC1199" s="4"/>
      <c r="CD1199" s="4"/>
      <c r="CE1199" s="4"/>
      <c r="CF1199" s="4"/>
      <c r="CG1199" s="4"/>
      <c r="CH1199" s="4"/>
      <c r="CI1199" s="4"/>
      <c r="CJ1199" s="4"/>
      <c r="CK1199" s="4"/>
      <c r="CL1199" s="4"/>
      <c r="CM1199" s="4"/>
      <c r="CN1199" s="4"/>
      <c r="CO1199" s="4"/>
      <c r="CP1199" s="4"/>
      <c r="CQ1199" s="4"/>
      <c r="CR1199" s="4"/>
      <c r="CS1199" s="4"/>
      <c r="CT1199" s="4"/>
      <c r="CU1199" s="4"/>
      <c r="CV1199" s="4"/>
      <c r="CW1199" s="4"/>
      <c r="CX1199" s="4"/>
      <c r="CY1199" s="4"/>
      <c r="CZ1199" s="4"/>
      <c r="DA1199" s="4"/>
      <c r="DB1199" s="4"/>
      <c r="DC1199" s="4"/>
      <c r="DD1199" s="4"/>
      <c r="DE1199" s="4"/>
      <c r="DF1199" s="4"/>
      <c r="DG1199" s="4"/>
      <c r="DH1199" s="4"/>
      <c r="DI1199" s="4"/>
      <c r="DJ1199" s="4"/>
      <c r="DK1199" s="4"/>
      <c r="DL1199" s="4"/>
      <c r="DM1199" s="4"/>
      <c r="DN1199" s="4"/>
      <c r="DO1199" s="4"/>
      <c r="DP1199" s="4"/>
      <c r="DQ1199" s="4"/>
      <c r="DR1199" s="4"/>
      <c r="DS1199" s="4"/>
      <c r="DT1199" s="4"/>
      <c r="DU1199" s="4"/>
      <c r="DV1199" s="4"/>
      <c r="DW1199" s="4"/>
      <c r="DX1199" s="4"/>
      <c r="DY1199" s="4"/>
      <c r="DZ1199" s="4"/>
      <c r="EA1199" s="4"/>
      <c r="EB1199" s="4"/>
      <c r="EC1199" s="4"/>
      <c r="ED1199" s="4"/>
      <c r="EE1199" s="4"/>
      <c r="EF1199" s="4"/>
      <c r="EG1199" s="4"/>
      <c r="EH1199" s="4"/>
      <c r="EI1199" s="4"/>
      <c r="EJ1199" s="4"/>
      <c r="EK1199" s="4"/>
      <c r="EL1199" s="4"/>
      <c r="EM1199" s="4"/>
      <c r="EN1199" s="4"/>
      <c r="EO1199" s="4"/>
      <c r="EP1199" s="4"/>
      <c r="EQ1199" s="4"/>
      <c r="ER1199" s="4"/>
      <c r="ES1199" s="4"/>
      <c r="ET1199" s="4"/>
      <c r="EU1199" s="4"/>
      <c r="EV1199" s="4"/>
      <c r="EW1199" s="4"/>
      <c r="EX1199" s="4"/>
      <c r="EY1199" s="4"/>
      <c r="EZ1199" s="4"/>
      <c r="FA1199" s="4"/>
      <c r="FB1199" s="4"/>
      <c r="FC1199" s="4"/>
      <c r="FD1199" s="4"/>
      <c r="FE1199" s="4"/>
      <c r="FF1199" s="4"/>
      <c r="FG1199" s="4"/>
      <c r="FH1199" s="4"/>
      <c r="FI1199" s="4"/>
      <c r="FJ1199" s="4"/>
      <c r="FK1199" s="4"/>
      <c r="FL1199" s="4"/>
      <c r="FM1199" s="4"/>
      <c r="FN1199" s="4"/>
      <c r="FO1199" s="4"/>
      <c r="FP1199" s="4"/>
      <c r="FQ1199" s="4"/>
      <c r="FR1199" s="4"/>
      <c r="FS1199" s="4"/>
      <c r="FT1199" s="4"/>
      <c r="FU1199" s="4"/>
      <c r="FV1199" s="4"/>
      <c r="FW1199" s="4"/>
      <c r="FX1199" s="4"/>
      <c r="FY1199" s="4"/>
      <c r="FZ1199" s="4"/>
      <c r="GA1199" s="4"/>
      <c r="GB1199" s="4"/>
      <c r="GC1199" s="4"/>
      <c r="GD1199" s="4"/>
      <c r="GE1199" s="4"/>
    </row>
    <row r="1200" spans="1:187" s="5" customFormat="1" ht="17.25" customHeight="1">
      <c r="A1200" s="12"/>
      <c r="B1200" s="105" t="s">
        <v>786</v>
      </c>
      <c r="C1200" s="15" t="s">
        <v>1296</v>
      </c>
      <c r="D1200" s="40"/>
      <c r="E1200" s="40"/>
      <c r="F1200" s="40"/>
      <c r="G1200" s="40">
        <v>5</v>
      </c>
      <c r="H1200" s="40">
        <v>5</v>
      </c>
      <c r="I1200" s="40">
        <v>5</v>
      </c>
      <c r="J1200" s="40">
        <v>5</v>
      </c>
      <c r="K1200" s="40">
        <v>5</v>
      </c>
      <c r="L1200" s="40">
        <v>3</v>
      </c>
      <c r="M1200" s="40" t="s">
        <v>556</v>
      </c>
      <c r="N1200" s="40" t="s">
        <v>556</v>
      </c>
      <c r="O1200" s="40" t="s">
        <v>556</v>
      </c>
      <c r="P1200" s="40" t="s">
        <v>556</v>
      </c>
      <c r="Q1200" s="73"/>
      <c r="R1200" s="40"/>
      <c r="S1200" s="40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  <c r="BK1200" s="4"/>
      <c r="BL1200" s="4"/>
      <c r="BM1200" s="4"/>
      <c r="BN1200" s="4"/>
      <c r="BO1200" s="4"/>
      <c r="BP1200" s="4"/>
      <c r="BQ1200" s="4"/>
      <c r="BR1200" s="4"/>
      <c r="BS1200" s="4"/>
      <c r="BT1200" s="4"/>
      <c r="BU1200" s="4"/>
      <c r="BV1200" s="4"/>
      <c r="BW1200" s="4"/>
      <c r="BX1200" s="4"/>
      <c r="BY1200" s="4"/>
      <c r="BZ1200" s="4"/>
      <c r="CA1200" s="4"/>
      <c r="CB1200" s="4"/>
      <c r="CC1200" s="4"/>
      <c r="CD1200" s="4"/>
      <c r="CE1200" s="4"/>
      <c r="CF1200" s="4"/>
      <c r="CG1200" s="4"/>
      <c r="CH1200" s="4"/>
      <c r="CI1200" s="4"/>
      <c r="CJ1200" s="4"/>
      <c r="CK1200" s="4"/>
      <c r="CL1200" s="4"/>
      <c r="CM1200" s="4"/>
      <c r="CN1200" s="4"/>
      <c r="CO1200" s="4"/>
      <c r="CP1200" s="4"/>
      <c r="CQ1200" s="4"/>
      <c r="CR1200" s="4"/>
      <c r="CS1200" s="4"/>
      <c r="CT1200" s="4"/>
      <c r="CU1200" s="4"/>
      <c r="CV1200" s="4"/>
      <c r="CW1200" s="4"/>
      <c r="CX1200" s="4"/>
      <c r="CY1200" s="4"/>
      <c r="CZ1200" s="4"/>
      <c r="DA1200" s="4"/>
      <c r="DB1200" s="4"/>
      <c r="DC1200" s="4"/>
      <c r="DD1200" s="4"/>
      <c r="DE1200" s="4"/>
      <c r="DF1200" s="4"/>
      <c r="DG1200" s="4"/>
      <c r="DH1200" s="4"/>
      <c r="DI1200" s="4"/>
      <c r="DJ1200" s="4"/>
      <c r="DK1200" s="4"/>
      <c r="DL1200" s="4"/>
      <c r="DM1200" s="4"/>
      <c r="DN1200" s="4"/>
      <c r="DO1200" s="4"/>
      <c r="DP1200" s="4"/>
      <c r="DQ1200" s="4"/>
      <c r="DR1200" s="4"/>
      <c r="DS1200" s="4"/>
      <c r="DT1200" s="4"/>
      <c r="DU1200" s="4"/>
      <c r="DV1200" s="4"/>
      <c r="DW1200" s="4"/>
      <c r="DX1200" s="4"/>
      <c r="DY1200" s="4"/>
      <c r="DZ1200" s="4"/>
      <c r="EA1200" s="4"/>
      <c r="EB1200" s="4"/>
      <c r="EC1200" s="4"/>
      <c r="ED1200" s="4"/>
      <c r="EE1200" s="4"/>
      <c r="EF1200" s="4"/>
      <c r="EG1200" s="4"/>
      <c r="EH1200" s="4"/>
      <c r="EI1200" s="4"/>
      <c r="EJ1200" s="4"/>
      <c r="EK1200" s="4"/>
      <c r="EL1200" s="4"/>
      <c r="EM1200" s="4"/>
      <c r="EN1200" s="4"/>
      <c r="EO1200" s="4"/>
      <c r="EP1200" s="4"/>
      <c r="EQ1200" s="4"/>
      <c r="ER1200" s="4"/>
      <c r="ES1200" s="4"/>
      <c r="ET1200" s="4"/>
      <c r="EU1200" s="4"/>
      <c r="EV1200" s="4"/>
      <c r="EW1200" s="4"/>
      <c r="EX1200" s="4"/>
      <c r="EY1200" s="4"/>
      <c r="EZ1200" s="4"/>
      <c r="FA1200" s="4"/>
      <c r="FB1200" s="4"/>
      <c r="FC1200" s="4"/>
      <c r="FD1200" s="4"/>
      <c r="FE1200" s="4"/>
      <c r="FF1200" s="4"/>
      <c r="FG1200" s="4"/>
      <c r="FH1200" s="4"/>
      <c r="FI1200" s="4"/>
      <c r="FJ1200" s="4"/>
      <c r="FK1200" s="4"/>
      <c r="FL1200" s="4"/>
      <c r="FM1200" s="4"/>
      <c r="FN1200" s="4"/>
      <c r="FO1200" s="4"/>
      <c r="FP1200" s="4"/>
      <c r="FQ1200" s="4"/>
      <c r="FR1200" s="4"/>
      <c r="FS1200" s="4"/>
      <c r="FT1200" s="4"/>
      <c r="FU1200" s="4"/>
      <c r="FV1200" s="4"/>
      <c r="FW1200" s="4"/>
      <c r="FX1200" s="4"/>
      <c r="FY1200" s="4"/>
      <c r="FZ1200" s="4"/>
      <c r="GA1200" s="4"/>
      <c r="GB1200" s="4"/>
      <c r="GC1200" s="4"/>
      <c r="GD1200" s="4"/>
      <c r="GE1200" s="4"/>
    </row>
    <row r="1201" spans="1:187" s="5" customFormat="1" ht="17.25" customHeight="1">
      <c r="A1201" s="12"/>
      <c r="B1201" s="97" t="s">
        <v>599</v>
      </c>
      <c r="C1201" s="15" t="s">
        <v>600</v>
      </c>
      <c r="D1201" s="40"/>
      <c r="E1201" s="40"/>
      <c r="F1201" s="40"/>
      <c r="G1201" s="40">
        <v>2</v>
      </c>
      <c r="H1201" s="40">
        <v>2</v>
      </c>
      <c r="I1201" s="40">
        <v>2</v>
      </c>
      <c r="J1201" s="40">
        <v>2</v>
      </c>
      <c r="K1201" s="40">
        <v>2</v>
      </c>
      <c r="L1201" s="40">
        <v>1</v>
      </c>
      <c r="M1201" s="40" t="s">
        <v>556</v>
      </c>
      <c r="N1201" s="40" t="s">
        <v>556</v>
      </c>
      <c r="O1201" s="40" t="s">
        <v>556</v>
      </c>
      <c r="P1201" s="40" t="s">
        <v>556</v>
      </c>
      <c r="Q1201" s="73"/>
      <c r="R1201" s="40"/>
      <c r="S1201" s="40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  <c r="BK1201" s="4"/>
      <c r="BL1201" s="4"/>
      <c r="BM1201" s="4"/>
      <c r="BN1201" s="4"/>
      <c r="BO1201" s="4"/>
      <c r="BP1201" s="4"/>
      <c r="BQ1201" s="4"/>
      <c r="BR1201" s="4"/>
      <c r="BS1201" s="4"/>
      <c r="BT1201" s="4"/>
      <c r="BU1201" s="4"/>
      <c r="BV1201" s="4"/>
      <c r="BW1201" s="4"/>
      <c r="BX1201" s="4"/>
      <c r="BY1201" s="4"/>
      <c r="BZ1201" s="4"/>
      <c r="CA1201" s="4"/>
      <c r="CB1201" s="4"/>
      <c r="CC1201" s="4"/>
      <c r="CD1201" s="4"/>
      <c r="CE1201" s="4"/>
      <c r="CF1201" s="4"/>
      <c r="CG1201" s="4"/>
      <c r="CH1201" s="4"/>
      <c r="CI1201" s="4"/>
      <c r="CJ1201" s="4"/>
      <c r="CK1201" s="4"/>
      <c r="CL1201" s="4"/>
      <c r="CM1201" s="4"/>
      <c r="CN1201" s="4"/>
      <c r="CO1201" s="4"/>
      <c r="CP1201" s="4"/>
      <c r="CQ1201" s="4"/>
      <c r="CR1201" s="4"/>
      <c r="CS1201" s="4"/>
      <c r="CT1201" s="4"/>
      <c r="CU1201" s="4"/>
      <c r="CV1201" s="4"/>
      <c r="CW1201" s="4"/>
      <c r="CX1201" s="4"/>
      <c r="CY1201" s="4"/>
      <c r="CZ1201" s="4"/>
      <c r="DA1201" s="4"/>
      <c r="DB1201" s="4"/>
      <c r="DC1201" s="4"/>
      <c r="DD1201" s="4"/>
      <c r="DE1201" s="4"/>
      <c r="DF1201" s="4"/>
      <c r="DG1201" s="4"/>
      <c r="DH1201" s="4"/>
      <c r="DI1201" s="4"/>
      <c r="DJ1201" s="4"/>
      <c r="DK1201" s="4"/>
      <c r="DL1201" s="4"/>
      <c r="DM1201" s="4"/>
      <c r="DN1201" s="4"/>
      <c r="DO1201" s="4"/>
      <c r="DP1201" s="4"/>
      <c r="DQ1201" s="4"/>
      <c r="DR1201" s="4"/>
      <c r="DS1201" s="4"/>
      <c r="DT1201" s="4"/>
      <c r="DU1201" s="4"/>
      <c r="DV1201" s="4"/>
      <c r="DW1201" s="4"/>
      <c r="DX1201" s="4"/>
      <c r="DY1201" s="4"/>
      <c r="DZ1201" s="4"/>
      <c r="EA1201" s="4"/>
      <c r="EB1201" s="4"/>
      <c r="EC1201" s="4"/>
      <c r="ED1201" s="4"/>
      <c r="EE1201" s="4"/>
      <c r="EF1201" s="4"/>
      <c r="EG1201" s="4"/>
      <c r="EH1201" s="4"/>
      <c r="EI1201" s="4"/>
      <c r="EJ1201" s="4"/>
      <c r="EK1201" s="4"/>
      <c r="EL1201" s="4"/>
      <c r="EM1201" s="4"/>
      <c r="EN1201" s="4"/>
      <c r="EO1201" s="4"/>
      <c r="EP1201" s="4"/>
      <c r="EQ1201" s="4"/>
      <c r="ER1201" s="4"/>
      <c r="ES1201" s="4"/>
      <c r="ET1201" s="4"/>
      <c r="EU1201" s="4"/>
      <c r="EV1201" s="4"/>
      <c r="EW1201" s="4"/>
      <c r="EX1201" s="4"/>
      <c r="EY1201" s="4"/>
      <c r="EZ1201" s="4"/>
      <c r="FA1201" s="4"/>
      <c r="FB1201" s="4"/>
      <c r="FC1201" s="4"/>
      <c r="FD1201" s="4"/>
      <c r="FE1201" s="4"/>
      <c r="FF1201" s="4"/>
      <c r="FG1201" s="4"/>
      <c r="FH1201" s="4"/>
      <c r="FI1201" s="4"/>
      <c r="FJ1201" s="4"/>
      <c r="FK1201" s="4"/>
      <c r="FL1201" s="4"/>
      <c r="FM1201" s="4"/>
      <c r="FN1201" s="4"/>
      <c r="FO1201" s="4"/>
      <c r="FP1201" s="4"/>
      <c r="FQ1201" s="4"/>
      <c r="FR1201" s="4"/>
      <c r="FS1201" s="4"/>
      <c r="FT1201" s="4"/>
      <c r="FU1201" s="4"/>
      <c r="FV1201" s="4"/>
      <c r="FW1201" s="4"/>
      <c r="FX1201" s="4"/>
      <c r="FY1201" s="4"/>
      <c r="FZ1201" s="4"/>
      <c r="GA1201" s="4"/>
      <c r="GB1201" s="4"/>
      <c r="GC1201" s="4"/>
      <c r="GD1201" s="4"/>
      <c r="GE1201" s="4"/>
    </row>
    <row r="1202" spans="1:187" s="5" customFormat="1" ht="17.25" customHeight="1">
      <c r="A1202" s="12"/>
      <c r="B1202" s="97" t="s">
        <v>797</v>
      </c>
      <c r="C1202" s="29" t="s">
        <v>798</v>
      </c>
      <c r="D1202" s="40"/>
      <c r="E1202" s="40"/>
      <c r="F1202" s="40"/>
      <c r="G1202" s="40">
        <v>2</v>
      </c>
      <c r="H1202" s="40">
        <v>2</v>
      </c>
      <c r="I1202" s="40">
        <v>2</v>
      </c>
      <c r="J1202" s="40">
        <v>2</v>
      </c>
      <c r="K1202" s="40">
        <v>2</v>
      </c>
      <c r="L1202" s="40">
        <v>1</v>
      </c>
      <c r="M1202" s="40">
        <v>1</v>
      </c>
      <c r="N1202" s="40" t="s">
        <v>556</v>
      </c>
      <c r="O1202" s="40" t="s">
        <v>556</v>
      </c>
      <c r="P1202" s="40" t="s">
        <v>556</v>
      </c>
      <c r="Q1202" s="73"/>
      <c r="R1202" s="40"/>
      <c r="S1202" s="40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  <c r="BK1202" s="4"/>
      <c r="BL1202" s="4"/>
      <c r="BM1202" s="4"/>
      <c r="BN1202" s="4"/>
      <c r="BO1202" s="4"/>
      <c r="BP1202" s="4"/>
      <c r="BQ1202" s="4"/>
      <c r="BR1202" s="4"/>
      <c r="BS1202" s="4"/>
      <c r="BT1202" s="4"/>
      <c r="BU1202" s="4"/>
      <c r="BV1202" s="4"/>
      <c r="BW1202" s="4"/>
      <c r="BX1202" s="4"/>
      <c r="BY1202" s="4"/>
      <c r="BZ1202" s="4"/>
      <c r="CA1202" s="4"/>
      <c r="CB1202" s="4"/>
      <c r="CC1202" s="4"/>
      <c r="CD1202" s="4"/>
      <c r="CE1202" s="4"/>
      <c r="CF1202" s="4"/>
      <c r="CG1202" s="4"/>
      <c r="CH1202" s="4"/>
      <c r="CI1202" s="4"/>
      <c r="CJ1202" s="4"/>
      <c r="CK1202" s="4"/>
      <c r="CL1202" s="4"/>
      <c r="CM1202" s="4"/>
      <c r="CN1202" s="4"/>
      <c r="CO1202" s="4"/>
      <c r="CP1202" s="4"/>
      <c r="CQ1202" s="4"/>
      <c r="CR1202" s="4"/>
      <c r="CS1202" s="4"/>
      <c r="CT1202" s="4"/>
      <c r="CU1202" s="4"/>
      <c r="CV1202" s="4"/>
      <c r="CW1202" s="4"/>
      <c r="CX1202" s="4"/>
      <c r="CY1202" s="4"/>
      <c r="CZ1202" s="4"/>
      <c r="DA1202" s="4"/>
      <c r="DB1202" s="4"/>
      <c r="DC1202" s="4"/>
      <c r="DD1202" s="4"/>
      <c r="DE1202" s="4"/>
      <c r="DF1202" s="4"/>
      <c r="DG1202" s="4"/>
      <c r="DH1202" s="4"/>
      <c r="DI1202" s="4"/>
      <c r="DJ1202" s="4"/>
      <c r="DK1202" s="4"/>
      <c r="DL1202" s="4"/>
      <c r="DM1202" s="4"/>
      <c r="DN1202" s="4"/>
      <c r="DO1202" s="4"/>
      <c r="DP1202" s="4"/>
      <c r="DQ1202" s="4"/>
      <c r="DR1202" s="4"/>
      <c r="DS1202" s="4"/>
      <c r="DT1202" s="4"/>
      <c r="DU1202" s="4"/>
      <c r="DV1202" s="4"/>
      <c r="DW1202" s="4"/>
      <c r="DX1202" s="4"/>
      <c r="DY1202" s="4"/>
      <c r="DZ1202" s="4"/>
      <c r="EA1202" s="4"/>
      <c r="EB1202" s="4"/>
      <c r="EC1202" s="4"/>
      <c r="ED1202" s="4"/>
      <c r="EE1202" s="4"/>
      <c r="EF1202" s="4"/>
      <c r="EG1202" s="4"/>
      <c r="EH1202" s="4"/>
      <c r="EI1202" s="4"/>
      <c r="EJ1202" s="4"/>
      <c r="EK1202" s="4"/>
      <c r="EL1202" s="4"/>
      <c r="EM1202" s="4"/>
      <c r="EN1202" s="4"/>
      <c r="EO1202" s="4"/>
      <c r="EP1202" s="4"/>
      <c r="EQ1202" s="4"/>
      <c r="ER1202" s="4"/>
      <c r="ES1202" s="4"/>
      <c r="ET1202" s="4"/>
      <c r="EU1202" s="4"/>
      <c r="EV1202" s="4"/>
      <c r="EW1202" s="4"/>
      <c r="EX1202" s="4"/>
      <c r="EY1202" s="4"/>
      <c r="EZ1202" s="4"/>
      <c r="FA1202" s="4"/>
      <c r="FB1202" s="4"/>
      <c r="FC1202" s="4"/>
      <c r="FD1202" s="4"/>
      <c r="FE1202" s="4"/>
      <c r="FF1202" s="4"/>
      <c r="FG1202" s="4"/>
      <c r="FH1202" s="4"/>
      <c r="FI1202" s="4"/>
      <c r="FJ1202" s="4"/>
      <c r="FK1202" s="4"/>
      <c r="FL1202" s="4"/>
      <c r="FM1202" s="4"/>
      <c r="FN1202" s="4"/>
      <c r="FO1202" s="4"/>
      <c r="FP1202" s="4"/>
      <c r="FQ1202" s="4"/>
      <c r="FR1202" s="4"/>
      <c r="FS1202" s="4"/>
      <c r="FT1202" s="4"/>
      <c r="FU1202" s="4"/>
      <c r="FV1202" s="4"/>
      <c r="FW1202" s="4"/>
      <c r="FX1202" s="4"/>
      <c r="FY1202" s="4"/>
      <c r="FZ1202" s="4"/>
      <c r="GA1202" s="4"/>
      <c r="GB1202" s="4"/>
      <c r="GC1202" s="4"/>
      <c r="GD1202" s="4"/>
      <c r="GE1202" s="4"/>
    </row>
    <row r="1203" spans="1:48" s="18" customFormat="1" ht="14.25" customHeight="1">
      <c r="A1203" s="50"/>
      <c r="B1203" s="93" t="s">
        <v>37</v>
      </c>
      <c r="C1203" s="16"/>
      <c r="D1203" s="52"/>
      <c r="E1203" s="52"/>
      <c r="F1203" s="52"/>
      <c r="G1203" s="52"/>
      <c r="H1203" s="52"/>
      <c r="I1203" s="52"/>
      <c r="J1203" s="52"/>
      <c r="K1203" s="52"/>
      <c r="L1203" s="60">
        <f>SUM(L1204:L1207)</f>
        <v>4</v>
      </c>
      <c r="M1203" s="60" t="s">
        <v>556</v>
      </c>
      <c r="N1203" s="60" t="s">
        <v>556</v>
      </c>
      <c r="O1203" s="60" t="s">
        <v>556</v>
      </c>
      <c r="P1203" s="60" t="s">
        <v>556</v>
      </c>
      <c r="Q1203" s="238">
        <f>SUM(Q1204:Q1209)</f>
        <v>0</v>
      </c>
      <c r="R1203" s="52">
        <f>SUM(R1204:R1209)</f>
        <v>0</v>
      </c>
      <c r="S1203" s="52">
        <f>SUM(S1204:S1209)</f>
        <v>0</v>
      </c>
      <c r="T1203" s="47"/>
      <c r="U1203" s="47"/>
      <c r="V1203" s="47"/>
      <c r="W1203" s="47"/>
      <c r="X1203" s="47"/>
      <c r="Y1203" s="47"/>
      <c r="Z1203" s="47"/>
      <c r="AA1203" s="47"/>
      <c r="AB1203" s="47"/>
      <c r="AC1203" s="47"/>
      <c r="AD1203" s="47"/>
      <c r="AE1203" s="47"/>
      <c r="AF1203" s="47"/>
      <c r="AG1203" s="47"/>
      <c r="AH1203" s="47"/>
      <c r="AI1203" s="47"/>
      <c r="AJ1203" s="47"/>
      <c r="AK1203" s="47"/>
      <c r="AL1203" s="47"/>
      <c r="AM1203" s="47"/>
      <c r="AN1203" s="47"/>
      <c r="AO1203" s="47"/>
      <c r="AP1203" s="47"/>
      <c r="AQ1203" s="47"/>
      <c r="AR1203" s="47"/>
      <c r="AS1203" s="47"/>
      <c r="AT1203" s="47"/>
      <c r="AU1203" s="47"/>
      <c r="AV1203" s="47"/>
    </row>
    <row r="1204" spans="1:48" s="27" customFormat="1" ht="17.25" customHeight="1">
      <c r="A1204" s="12"/>
      <c r="B1204" s="97" t="s">
        <v>38</v>
      </c>
      <c r="C1204" s="66" t="s">
        <v>457</v>
      </c>
      <c r="D1204" s="40"/>
      <c r="E1204" s="40"/>
      <c r="F1204" s="40" t="s">
        <v>556</v>
      </c>
      <c r="G1204" s="40">
        <v>2</v>
      </c>
      <c r="H1204" s="40">
        <v>2</v>
      </c>
      <c r="I1204" s="40">
        <v>2</v>
      </c>
      <c r="J1204" s="40">
        <v>2</v>
      </c>
      <c r="K1204" s="40">
        <v>2</v>
      </c>
      <c r="L1204" s="40">
        <v>1</v>
      </c>
      <c r="M1204" s="40" t="s">
        <v>556</v>
      </c>
      <c r="N1204" s="40" t="s">
        <v>556</v>
      </c>
      <c r="O1204" s="40" t="s">
        <v>556</v>
      </c>
      <c r="P1204" s="40" t="s">
        <v>556</v>
      </c>
      <c r="Q1204" s="30"/>
      <c r="R1204" s="30"/>
      <c r="S1204" s="30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</row>
    <row r="1205" spans="1:48" s="27" customFormat="1" ht="30.75" customHeight="1">
      <c r="A1205" s="12"/>
      <c r="B1205" s="105" t="s">
        <v>611</v>
      </c>
      <c r="C1205" s="15" t="s">
        <v>612</v>
      </c>
      <c r="D1205" s="40"/>
      <c r="E1205" s="40"/>
      <c r="F1205" s="40"/>
      <c r="G1205" s="40">
        <v>1</v>
      </c>
      <c r="H1205" s="40">
        <v>1</v>
      </c>
      <c r="I1205" s="40">
        <v>1</v>
      </c>
      <c r="J1205" s="40">
        <v>1</v>
      </c>
      <c r="K1205" s="40">
        <v>1</v>
      </c>
      <c r="L1205" s="40">
        <v>1</v>
      </c>
      <c r="M1205" s="40" t="s">
        <v>556</v>
      </c>
      <c r="N1205" s="40" t="s">
        <v>556</v>
      </c>
      <c r="O1205" s="40" t="s">
        <v>556</v>
      </c>
      <c r="P1205" s="40" t="s">
        <v>556</v>
      </c>
      <c r="Q1205" s="30"/>
      <c r="R1205" s="30"/>
      <c r="S1205" s="30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</row>
    <row r="1206" spans="1:48" s="27" customFormat="1" ht="17.25" customHeight="1">
      <c r="A1206" s="12"/>
      <c r="B1206" s="106" t="s">
        <v>1045</v>
      </c>
      <c r="C1206" s="66" t="s">
        <v>1046</v>
      </c>
      <c r="D1206" s="40"/>
      <c r="E1206" s="40"/>
      <c r="F1206" s="40"/>
      <c r="G1206" s="40">
        <v>1</v>
      </c>
      <c r="H1206" s="40">
        <v>1</v>
      </c>
      <c r="I1206" s="40">
        <v>1</v>
      </c>
      <c r="J1206" s="40">
        <v>1</v>
      </c>
      <c r="K1206" s="40">
        <v>1</v>
      </c>
      <c r="L1206" s="40">
        <v>1</v>
      </c>
      <c r="M1206" s="40" t="s">
        <v>556</v>
      </c>
      <c r="N1206" s="40" t="s">
        <v>556</v>
      </c>
      <c r="O1206" s="40" t="s">
        <v>556</v>
      </c>
      <c r="P1206" s="40" t="s">
        <v>556</v>
      </c>
      <c r="Q1206" s="30"/>
      <c r="R1206" s="30"/>
      <c r="S1206" s="30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</row>
    <row r="1207" spans="1:48" s="27" customFormat="1" ht="18.75" customHeight="1">
      <c r="A1207" s="12"/>
      <c r="B1207" s="97" t="s">
        <v>95</v>
      </c>
      <c r="C1207" s="15" t="s">
        <v>96</v>
      </c>
      <c r="D1207" s="40"/>
      <c r="E1207" s="40"/>
      <c r="F1207" s="40" t="s">
        <v>556</v>
      </c>
      <c r="G1207" s="40">
        <v>1</v>
      </c>
      <c r="H1207" s="40">
        <v>1</v>
      </c>
      <c r="I1207" s="40">
        <v>1</v>
      </c>
      <c r="J1207" s="40">
        <v>1</v>
      </c>
      <c r="K1207" s="40">
        <v>1</v>
      </c>
      <c r="L1207" s="40">
        <v>1</v>
      </c>
      <c r="M1207" s="40" t="s">
        <v>556</v>
      </c>
      <c r="N1207" s="40" t="s">
        <v>556</v>
      </c>
      <c r="O1207" s="40" t="s">
        <v>556</v>
      </c>
      <c r="P1207" s="40" t="s">
        <v>556</v>
      </c>
      <c r="Q1207" s="30"/>
      <c r="R1207" s="30"/>
      <c r="S1207" s="30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</row>
    <row r="1208" spans="1:19" ht="15" customHeight="1">
      <c r="A1208" s="399" t="s">
        <v>665</v>
      </c>
      <c r="B1208" s="399"/>
      <c r="C1208" s="399"/>
      <c r="D1208" s="399"/>
      <c r="E1208" s="399"/>
      <c r="F1208" s="399"/>
      <c r="G1208" s="399"/>
      <c r="H1208" s="399"/>
      <c r="I1208" s="399"/>
      <c r="J1208" s="399"/>
      <c r="K1208" s="399"/>
      <c r="L1208" s="399"/>
      <c r="M1208" s="399"/>
      <c r="N1208" s="399"/>
      <c r="O1208" s="399"/>
      <c r="P1208" s="399"/>
      <c r="Q1208" s="20"/>
      <c r="R1208" s="20"/>
      <c r="S1208" s="7"/>
    </row>
    <row r="1209" spans="1:19" ht="13.5" customHeight="1">
      <c r="A1209" s="400" t="s">
        <v>676</v>
      </c>
      <c r="B1209" s="400"/>
      <c r="C1209" s="400"/>
      <c r="D1209" s="400"/>
      <c r="E1209" s="400"/>
      <c r="F1209" s="400"/>
      <c r="G1209" s="400"/>
      <c r="H1209" s="400"/>
      <c r="I1209" s="400"/>
      <c r="J1209" s="400"/>
      <c r="K1209" s="400"/>
      <c r="L1209" s="400"/>
      <c r="M1209" s="400"/>
      <c r="N1209" s="400"/>
      <c r="O1209" s="400"/>
      <c r="P1209" s="400"/>
      <c r="Q1209" s="21"/>
      <c r="R1209" s="21"/>
      <c r="S1209" s="8"/>
    </row>
    <row r="1210" spans="1:188" s="205" customFormat="1" ht="16.5" customHeight="1">
      <c r="A1210" s="13">
        <v>60</v>
      </c>
      <c r="B1210" s="92" t="s">
        <v>228</v>
      </c>
      <c r="C1210" s="45"/>
      <c r="D1210" s="44">
        <v>1465</v>
      </c>
      <c r="E1210" s="44">
        <v>276</v>
      </c>
      <c r="F1210" s="44"/>
      <c r="G1210" s="44">
        <v>1704</v>
      </c>
      <c r="H1210" s="44">
        <v>1704</v>
      </c>
      <c r="I1210" s="44">
        <v>1704</v>
      </c>
      <c r="J1210" s="44"/>
      <c r="K1210" s="44">
        <v>1704</v>
      </c>
      <c r="L1210" s="44">
        <v>6</v>
      </c>
      <c r="M1210" s="44">
        <v>11</v>
      </c>
      <c r="N1210" s="44">
        <v>12</v>
      </c>
      <c r="O1210" s="44">
        <v>13</v>
      </c>
      <c r="P1210" s="44">
        <v>10</v>
      </c>
      <c r="Q1210" s="239">
        <f>Q1215</f>
        <v>0</v>
      </c>
      <c r="R1210" s="71">
        <f>R1215</f>
        <v>0</v>
      </c>
      <c r="S1210" s="71">
        <f>S1215</f>
        <v>0</v>
      </c>
      <c r="T1210" s="204"/>
      <c r="U1210" s="204"/>
      <c r="V1210" s="204"/>
      <c r="W1210" s="204"/>
      <c r="X1210" s="204"/>
      <c r="Y1210" s="204"/>
      <c r="Z1210" s="204"/>
      <c r="AA1210" s="204"/>
      <c r="AB1210" s="204"/>
      <c r="AC1210" s="204"/>
      <c r="AD1210" s="204"/>
      <c r="AE1210" s="204"/>
      <c r="AF1210" s="204"/>
      <c r="AG1210" s="204"/>
      <c r="AH1210" s="204"/>
      <c r="AI1210" s="204"/>
      <c r="AJ1210" s="204"/>
      <c r="AK1210" s="204"/>
      <c r="AL1210" s="204"/>
      <c r="AM1210" s="204"/>
      <c r="AN1210" s="204"/>
      <c r="AO1210" s="204"/>
      <c r="AP1210" s="204"/>
      <c r="AQ1210" s="204"/>
      <c r="AR1210" s="204"/>
      <c r="AS1210" s="204"/>
      <c r="AT1210" s="204"/>
      <c r="AU1210" s="204"/>
      <c r="AV1210" s="204"/>
      <c r="AW1210" s="204"/>
      <c r="AX1210" s="204"/>
      <c r="AY1210" s="204"/>
      <c r="AZ1210" s="204"/>
      <c r="BA1210" s="204"/>
      <c r="BB1210" s="204"/>
      <c r="BC1210" s="204"/>
      <c r="BD1210" s="204"/>
      <c r="BE1210" s="204"/>
      <c r="BF1210" s="204"/>
      <c r="BG1210" s="204"/>
      <c r="BH1210" s="204"/>
      <c r="BI1210" s="204"/>
      <c r="BJ1210" s="204"/>
      <c r="BK1210" s="204"/>
      <c r="BL1210" s="204"/>
      <c r="BM1210" s="204"/>
      <c r="BN1210" s="204"/>
      <c r="BO1210" s="204"/>
      <c r="BP1210" s="204"/>
      <c r="BQ1210" s="204"/>
      <c r="BR1210" s="204"/>
      <c r="BS1210" s="204"/>
      <c r="BT1210" s="204"/>
      <c r="BU1210" s="204"/>
      <c r="BV1210" s="204"/>
      <c r="BW1210" s="204"/>
      <c r="BX1210" s="204"/>
      <c r="BY1210" s="204"/>
      <c r="BZ1210" s="204"/>
      <c r="CA1210" s="204"/>
      <c r="CB1210" s="204"/>
      <c r="CC1210" s="204"/>
      <c r="CD1210" s="204"/>
      <c r="CE1210" s="204"/>
      <c r="CF1210" s="204"/>
      <c r="CG1210" s="204"/>
      <c r="CH1210" s="204"/>
      <c r="CI1210" s="204"/>
      <c r="CJ1210" s="204"/>
      <c r="CK1210" s="204"/>
      <c r="CL1210" s="204"/>
      <c r="CM1210" s="204"/>
      <c r="CN1210" s="204"/>
      <c r="CO1210" s="204"/>
      <c r="CP1210" s="204"/>
      <c r="CQ1210" s="204"/>
      <c r="CR1210" s="204"/>
      <c r="CS1210" s="204"/>
      <c r="CT1210" s="204"/>
      <c r="CU1210" s="204"/>
      <c r="CV1210" s="204"/>
      <c r="CW1210" s="204"/>
      <c r="CX1210" s="204"/>
      <c r="CY1210" s="204"/>
      <c r="CZ1210" s="204"/>
      <c r="DA1210" s="204"/>
      <c r="DB1210" s="204"/>
      <c r="DC1210" s="204"/>
      <c r="DD1210" s="204"/>
      <c r="DE1210" s="204"/>
      <c r="DF1210" s="204"/>
      <c r="DG1210" s="204"/>
      <c r="DH1210" s="204"/>
      <c r="DI1210" s="204"/>
      <c r="DJ1210" s="204"/>
      <c r="DK1210" s="204"/>
      <c r="DL1210" s="204"/>
      <c r="DM1210" s="204"/>
      <c r="DN1210" s="204"/>
      <c r="DO1210" s="204"/>
      <c r="DP1210" s="204"/>
      <c r="DQ1210" s="204"/>
      <c r="DR1210" s="204"/>
      <c r="DS1210" s="204"/>
      <c r="DT1210" s="204"/>
      <c r="DU1210" s="204"/>
      <c r="DV1210" s="204"/>
      <c r="DW1210" s="204"/>
      <c r="DX1210" s="204"/>
      <c r="DY1210" s="204"/>
      <c r="DZ1210" s="204"/>
      <c r="EA1210" s="204"/>
      <c r="EB1210" s="204"/>
      <c r="EC1210" s="204"/>
      <c r="ED1210" s="204"/>
      <c r="EE1210" s="204"/>
      <c r="EF1210" s="204"/>
      <c r="EG1210" s="204"/>
      <c r="EH1210" s="204"/>
      <c r="EI1210" s="204"/>
      <c r="EJ1210" s="204"/>
      <c r="EK1210" s="204"/>
      <c r="EL1210" s="204"/>
      <c r="EM1210" s="204"/>
      <c r="EN1210" s="204"/>
      <c r="EO1210" s="204"/>
      <c r="EP1210" s="204"/>
      <c r="EQ1210" s="204"/>
      <c r="ER1210" s="204"/>
      <c r="ES1210" s="204"/>
      <c r="ET1210" s="204"/>
      <c r="EU1210" s="204"/>
      <c r="EV1210" s="204"/>
      <c r="EW1210" s="204"/>
      <c r="EX1210" s="204"/>
      <c r="EY1210" s="204"/>
      <c r="EZ1210" s="204"/>
      <c r="FA1210" s="204"/>
      <c r="FB1210" s="204"/>
      <c r="FC1210" s="204"/>
      <c r="FD1210" s="204"/>
      <c r="FE1210" s="204"/>
      <c r="FF1210" s="204"/>
      <c r="FG1210" s="204"/>
      <c r="FH1210" s="204"/>
      <c r="FI1210" s="204"/>
      <c r="FJ1210" s="204"/>
      <c r="FK1210" s="204"/>
      <c r="FL1210" s="204"/>
      <c r="FM1210" s="204"/>
      <c r="FN1210" s="204"/>
      <c r="FO1210" s="204"/>
      <c r="FP1210" s="204"/>
      <c r="FQ1210" s="204"/>
      <c r="FR1210" s="204"/>
      <c r="FS1210" s="204"/>
      <c r="FT1210" s="204"/>
      <c r="FU1210" s="204"/>
      <c r="FV1210" s="204"/>
      <c r="FW1210" s="204"/>
      <c r="FX1210" s="204"/>
      <c r="FY1210" s="204"/>
      <c r="FZ1210" s="204"/>
      <c r="GA1210" s="204"/>
      <c r="GB1210" s="204"/>
      <c r="GC1210" s="204"/>
      <c r="GD1210" s="204"/>
      <c r="GE1210" s="204"/>
      <c r="GF1210" s="204"/>
    </row>
    <row r="1211" spans="1:19" s="207" customFormat="1" ht="17.25" customHeight="1">
      <c r="A1211" s="50"/>
      <c r="B1211" s="93" t="s">
        <v>669</v>
      </c>
      <c r="C1211" s="94"/>
      <c r="D1211" s="60">
        <f>D1212+D1213+D1214</f>
        <v>31</v>
      </c>
      <c r="E1211" s="60">
        <f aca="true" t="shared" si="51" ref="E1211:P1211">E1212+E1213+E1214</f>
        <v>8</v>
      </c>
      <c r="F1211" s="60" t="e">
        <f t="shared" si="51"/>
        <v>#VALUE!</v>
      </c>
      <c r="G1211" s="60">
        <f t="shared" si="51"/>
        <v>22</v>
      </c>
      <c r="H1211" s="60">
        <f t="shared" si="51"/>
        <v>22</v>
      </c>
      <c r="I1211" s="60">
        <f t="shared" si="51"/>
        <v>22</v>
      </c>
      <c r="J1211" s="60">
        <f t="shared" si="51"/>
        <v>0</v>
      </c>
      <c r="K1211" s="60">
        <f t="shared" si="51"/>
        <v>22</v>
      </c>
      <c r="L1211" s="60">
        <f t="shared" si="51"/>
        <v>6</v>
      </c>
      <c r="M1211" s="60">
        <f t="shared" si="51"/>
        <v>7</v>
      </c>
      <c r="N1211" s="60">
        <f t="shared" si="51"/>
        <v>8</v>
      </c>
      <c r="O1211" s="60">
        <f t="shared" si="51"/>
        <v>8</v>
      </c>
      <c r="P1211" s="60">
        <f t="shared" si="51"/>
        <v>6</v>
      </c>
      <c r="Q1211" s="216"/>
      <c r="R1211" s="216"/>
      <c r="S1211" s="217"/>
    </row>
    <row r="1212" spans="1:187" s="225" customFormat="1" ht="18" customHeight="1">
      <c r="A1212" s="12"/>
      <c r="B1212" s="97" t="s">
        <v>564</v>
      </c>
      <c r="C1212" s="352" t="s">
        <v>565</v>
      </c>
      <c r="D1212" s="344">
        <v>15</v>
      </c>
      <c r="E1212" s="344">
        <v>2</v>
      </c>
      <c r="F1212" s="366" t="s">
        <v>556</v>
      </c>
      <c r="G1212" s="367">
        <v>15</v>
      </c>
      <c r="H1212" s="367">
        <v>15</v>
      </c>
      <c r="I1212" s="367">
        <v>15</v>
      </c>
      <c r="J1212" s="367"/>
      <c r="K1212" s="367">
        <v>15</v>
      </c>
      <c r="L1212" s="368">
        <v>6</v>
      </c>
      <c r="M1212" s="344">
        <v>2</v>
      </c>
      <c r="N1212" s="344">
        <v>2</v>
      </c>
      <c r="O1212" s="344">
        <v>2</v>
      </c>
      <c r="P1212" s="344">
        <v>2</v>
      </c>
      <c r="Q1212" s="237"/>
      <c r="R1212" s="209"/>
      <c r="S1212" s="209"/>
      <c r="T1212" s="224"/>
      <c r="U1212" s="224"/>
      <c r="V1212" s="224"/>
      <c r="W1212" s="224"/>
      <c r="X1212" s="224"/>
      <c r="Y1212" s="224"/>
      <c r="Z1212" s="224"/>
      <c r="AA1212" s="224"/>
      <c r="AB1212" s="224"/>
      <c r="AC1212" s="224"/>
      <c r="AD1212" s="224"/>
      <c r="AE1212" s="224"/>
      <c r="AF1212" s="224"/>
      <c r="AG1212" s="224"/>
      <c r="AH1212" s="224"/>
      <c r="AI1212" s="224"/>
      <c r="AJ1212" s="224"/>
      <c r="AK1212" s="224"/>
      <c r="AL1212" s="224"/>
      <c r="AM1212" s="224"/>
      <c r="AN1212" s="224"/>
      <c r="AO1212" s="224"/>
      <c r="AP1212" s="224"/>
      <c r="AQ1212" s="224"/>
      <c r="AR1212" s="224"/>
      <c r="AS1212" s="224"/>
      <c r="AT1212" s="224"/>
      <c r="AU1212" s="224"/>
      <c r="AV1212" s="224"/>
      <c r="AW1212" s="224"/>
      <c r="AX1212" s="224"/>
      <c r="AY1212" s="224"/>
      <c r="AZ1212" s="224"/>
      <c r="BA1212" s="224"/>
      <c r="BB1212" s="224"/>
      <c r="BC1212" s="224"/>
      <c r="BD1212" s="224"/>
      <c r="BE1212" s="224"/>
      <c r="BF1212" s="224"/>
      <c r="BG1212" s="224"/>
      <c r="BH1212" s="224"/>
      <c r="BI1212" s="224"/>
      <c r="BJ1212" s="224"/>
      <c r="BK1212" s="224"/>
      <c r="BL1212" s="224"/>
      <c r="BM1212" s="224"/>
      <c r="BN1212" s="224"/>
      <c r="BO1212" s="224"/>
      <c r="BP1212" s="224"/>
      <c r="BQ1212" s="224"/>
      <c r="BR1212" s="224"/>
      <c r="BS1212" s="224"/>
      <c r="BT1212" s="224"/>
      <c r="BU1212" s="224"/>
      <c r="BV1212" s="224"/>
      <c r="BW1212" s="224"/>
      <c r="BX1212" s="224"/>
      <c r="BY1212" s="224"/>
      <c r="BZ1212" s="224"/>
      <c r="CA1212" s="224"/>
      <c r="CB1212" s="224"/>
      <c r="CC1212" s="224"/>
      <c r="CD1212" s="224"/>
      <c r="CE1212" s="224"/>
      <c r="CF1212" s="224"/>
      <c r="CG1212" s="224"/>
      <c r="CH1212" s="224"/>
      <c r="CI1212" s="224"/>
      <c r="CJ1212" s="224"/>
      <c r="CK1212" s="224"/>
      <c r="CL1212" s="224"/>
      <c r="CM1212" s="224"/>
      <c r="CN1212" s="224"/>
      <c r="CO1212" s="224"/>
      <c r="CP1212" s="224"/>
      <c r="CQ1212" s="224"/>
      <c r="CR1212" s="224"/>
      <c r="CS1212" s="224"/>
      <c r="CT1212" s="224"/>
      <c r="CU1212" s="224"/>
      <c r="CV1212" s="224"/>
      <c r="CW1212" s="224"/>
      <c r="CX1212" s="224"/>
      <c r="CY1212" s="224"/>
      <c r="CZ1212" s="224"/>
      <c r="DA1212" s="224"/>
      <c r="DB1212" s="224"/>
      <c r="DC1212" s="224"/>
      <c r="DD1212" s="224"/>
      <c r="DE1212" s="224"/>
      <c r="DF1212" s="224"/>
      <c r="DG1212" s="224"/>
      <c r="DH1212" s="224"/>
      <c r="DI1212" s="224"/>
      <c r="DJ1212" s="224"/>
      <c r="DK1212" s="224"/>
      <c r="DL1212" s="224"/>
      <c r="DM1212" s="224"/>
      <c r="DN1212" s="224"/>
      <c r="DO1212" s="224"/>
      <c r="DP1212" s="224"/>
      <c r="DQ1212" s="224"/>
      <c r="DR1212" s="224"/>
      <c r="DS1212" s="224"/>
      <c r="DT1212" s="224"/>
      <c r="DU1212" s="224"/>
      <c r="DV1212" s="224"/>
      <c r="DW1212" s="224"/>
      <c r="DX1212" s="224"/>
      <c r="DY1212" s="224"/>
      <c r="DZ1212" s="224"/>
      <c r="EA1212" s="224"/>
      <c r="EB1212" s="224"/>
      <c r="EC1212" s="224"/>
      <c r="ED1212" s="224"/>
      <c r="EE1212" s="224"/>
      <c r="EF1212" s="224"/>
      <c r="EG1212" s="224"/>
      <c r="EH1212" s="224"/>
      <c r="EI1212" s="224"/>
      <c r="EJ1212" s="224"/>
      <c r="EK1212" s="224"/>
      <c r="EL1212" s="224"/>
      <c r="EM1212" s="224"/>
      <c r="EN1212" s="224"/>
      <c r="EO1212" s="224"/>
      <c r="EP1212" s="224"/>
      <c r="EQ1212" s="224"/>
      <c r="ER1212" s="224"/>
      <c r="ES1212" s="224"/>
      <c r="ET1212" s="224"/>
      <c r="EU1212" s="224"/>
      <c r="EV1212" s="224"/>
      <c r="EW1212" s="224"/>
      <c r="EX1212" s="224"/>
      <c r="EY1212" s="224"/>
      <c r="EZ1212" s="224"/>
      <c r="FA1212" s="224"/>
      <c r="FB1212" s="224"/>
      <c r="FC1212" s="224"/>
      <c r="FD1212" s="224"/>
      <c r="FE1212" s="224"/>
      <c r="FF1212" s="224"/>
      <c r="FG1212" s="224"/>
      <c r="FH1212" s="224"/>
      <c r="FI1212" s="224"/>
      <c r="FJ1212" s="224"/>
      <c r="FK1212" s="224"/>
      <c r="FL1212" s="224"/>
      <c r="FM1212" s="224"/>
      <c r="FN1212" s="224"/>
      <c r="FO1212" s="224"/>
      <c r="FP1212" s="224"/>
      <c r="FQ1212" s="224"/>
      <c r="FR1212" s="224"/>
      <c r="FS1212" s="224"/>
      <c r="FT1212" s="224"/>
      <c r="FU1212" s="224"/>
      <c r="FV1212" s="224"/>
      <c r="FW1212" s="224"/>
      <c r="FX1212" s="224"/>
      <c r="FY1212" s="224"/>
      <c r="FZ1212" s="224"/>
      <c r="GA1212" s="224"/>
      <c r="GB1212" s="224"/>
      <c r="GC1212" s="224"/>
      <c r="GD1212" s="224"/>
      <c r="GE1212" s="224"/>
    </row>
    <row r="1213" spans="1:187" s="225" customFormat="1" ht="18" customHeight="1">
      <c r="A1213" s="369"/>
      <c r="B1213" s="371" t="s">
        <v>1191</v>
      </c>
      <c r="C1213" s="372" t="s">
        <v>1296</v>
      </c>
      <c r="D1213" s="344">
        <v>8</v>
      </c>
      <c r="E1213" s="344">
        <v>2</v>
      </c>
      <c r="F1213" s="366" t="s">
        <v>556</v>
      </c>
      <c r="G1213" s="367">
        <v>7</v>
      </c>
      <c r="H1213" s="367">
        <v>7</v>
      </c>
      <c r="I1213" s="367">
        <v>7</v>
      </c>
      <c r="J1213" s="367"/>
      <c r="K1213" s="367">
        <v>7</v>
      </c>
      <c r="L1213" s="368"/>
      <c r="M1213" s="344">
        <v>3</v>
      </c>
      <c r="N1213" s="344">
        <v>3</v>
      </c>
      <c r="O1213" s="344">
        <v>3</v>
      </c>
      <c r="P1213" s="344">
        <v>2</v>
      </c>
      <c r="Q1213" s="237"/>
      <c r="R1213" s="209"/>
      <c r="S1213" s="209"/>
      <c r="T1213" s="224"/>
      <c r="U1213" s="224"/>
      <c r="V1213" s="224"/>
      <c r="W1213" s="224"/>
      <c r="X1213" s="224"/>
      <c r="Y1213" s="224"/>
      <c r="Z1213" s="224"/>
      <c r="AA1213" s="224"/>
      <c r="AB1213" s="224"/>
      <c r="AC1213" s="224"/>
      <c r="AD1213" s="224"/>
      <c r="AE1213" s="224"/>
      <c r="AF1213" s="224"/>
      <c r="AG1213" s="224"/>
      <c r="AH1213" s="224"/>
      <c r="AI1213" s="224"/>
      <c r="AJ1213" s="224"/>
      <c r="AK1213" s="224"/>
      <c r="AL1213" s="224"/>
      <c r="AM1213" s="224"/>
      <c r="AN1213" s="224"/>
      <c r="AO1213" s="224"/>
      <c r="AP1213" s="224"/>
      <c r="AQ1213" s="224"/>
      <c r="AR1213" s="224"/>
      <c r="AS1213" s="224"/>
      <c r="AT1213" s="224"/>
      <c r="AU1213" s="224"/>
      <c r="AV1213" s="224"/>
      <c r="AW1213" s="224"/>
      <c r="AX1213" s="224"/>
      <c r="AY1213" s="224"/>
      <c r="AZ1213" s="224"/>
      <c r="BA1213" s="224"/>
      <c r="BB1213" s="224"/>
      <c r="BC1213" s="224"/>
      <c r="BD1213" s="224"/>
      <c r="BE1213" s="224"/>
      <c r="BF1213" s="224"/>
      <c r="BG1213" s="224"/>
      <c r="BH1213" s="224"/>
      <c r="BI1213" s="224"/>
      <c r="BJ1213" s="224"/>
      <c r="BK1213" s="224"/>
      <c r="BL1213" s="224"/>
      <c r="BM1213" s="224"/>
      <c r="BN1213" s="224"/>
      <c r="BO1213" s="224"/>
      <c r="BP1213" s="224"/>
      <c r="BQ1213" s="224"/>
      <c r="BR1213" s="224"/>
      <c r="BS1213" s="224"/>
      <c r="BT1213" s="224"/>
      <c r="BU1213" s="224"/>
      <c r="BV1213" s="224"/>
      <c r="BW1213" s="224"/>
      <c r="BX1213" s="224"/>
      <c r="BY1213" s="224"/>
      <c r="BZ1213" s="224"/>
      <c r="CA1213" s="224"/>
      <c r="CB1213" s="224"/>
      <c r="CC1213" s="224"/>
      <c r="CD1213" s="224"/>
      <c r="CE1213" s="224"/>
      <c r="CF1213" s="224"/>
      <c r="CG1213" s="224"/>
      <c r="CH1213" s="224"/>
      <c r="CI1213" s="224"/>
      <c r="CJ1213" s="224"/>
      <c r="CK1213" s="224"/>
      <c r="CL1213" s="224"/>
      <c r="CM1213" s="224"/>
      <c r="CN1213" s="224"/>
      <c r="CO1213" s="224"/>
      <c r="CP1213" s="224"/>
      <c r="CQ1213" s="224"/>
      <c r="CR1213" s="224"/>
      <c r="CS1213" s="224"/>
      <c r="CT1213" s="224"/>
      <c r="CU1213" s="224"/>
      <c r="CV1213" s="224"/>
      <c r="CW1213" s="224"/>
      <c r="CX1213" s="224"/>
      <c r="CY1213" s="224"/>
      <c r="CZ1213" s="224"/>
      <c r="DA1213" s="224"/>
      <c r="DB1213" s="224"/>
      <c r="DC1213" s="224"/>
      <c r="DD1213" s="224"/>
      <c r="DE1213" s="224"/>
      <c r="DF1213" s="224"/>
      <c r="DG1213" s="224"/>
      <c r="DH1213" s="224"/>
      <c r="DI1213" s="224"/>
      <c r="DJ1213" s="224"/>
      <c r="DK1213" s="224"/>
      <c r="DL1213" s="224"/>
      <c r="DM1213" s="224"/>
      <c r="DN1213" s="224"/>
      <c r="DO1213" s="224"/>
      <c r="DP1213" s="224"/>
      <c r="DQ1213" s="224"/>
      <c r="DR1213" s="224"/>
      <c r="DS1213" s="224"/>
      <c r="DT1213" s="224"/>
      <c r="DU1213" s="224"/>
      <c r="DV1213" s="224"/>
      <c r="DW1213" s="224"/>
      <c r="DX1213" s="224"/>
      <c r="DY1213" s="224"/>
      <c r="DZ1213" s="224"/>
      <c r="EA1213" s="224"/>
      <c r="EB1213" s="224"/>
      <c r="EC1213" s="224"/>
      <c r="ED1213" s="224"/>
      <c r="EE1213" s="224"/>
      <c r="EF1213" s="224"/>
      <c r="EG1213" s="224"/>
      <c r="EH1213" s="224"/>
      <c r="EI1213" s="224"/>
      <c r="EJ1213" s="224"/>
      <c r="EK1213" s="224"/>
      <c r="EL1213" s="224"/>
      <c r="EM1213" s="224"/>
      <c r="EN1213" s="224"/>
      <c r="EO1213" s="224"/>
      <c r="EP1213" s="224"/>
      <c r="EQ1213" s="224"/>
      <c r="ER1213" s="224"/>
      <c r="ES1213" s="224"/>
      <c r="ET1213" s="224"/>
      <c r="EU1213" s="224"/>
      <c r="EV1213" s="224"/>
      <c r="EW1213" s="224"/>
      <c r="EX1213" s="224"/>
      <c r="EY1213" s="224"/>
      <c r="EZ1213" s="224"/>
      <c r="FA1213" s="224"/>
      <c r="FB1213" s="224"/>
      <c r="FC1213" s="224"/>
      <c r="FD1213" s="224"/>
      <c r="FE1213" s="224"/>
      <c r="FF1213" s="224"/>
      <c r="FG1213" s="224"/>
      <c r="FH1213" s="224"/>
      <c r="FI1213" s="224"/>
      <c r="FJ1213" s="224"/>
      <c r="FK1213" s="224"/>
      <c r="FL1213" s="224"/>
      <c r="FM1213" s="224"/>
      <c r="FN1213" s="224"/>
      <c r="FO1213" s="224"/>
      <c r="FP1213" s="224"/>
      <c r="FQ1213" s="224"/>
      <c r="FR1213" s="224"/>
      <c r="FS1213" s="224"/>
      <c r="FT1213" s="224"/>
      <c r="FU1213" s="224"/>
      <c r="FV1213" s="224"/>
      <c r="FW1213" s="224"/>
      <c r="FX1213" s="224"/>
      <c r="FY1213" s="224"/>
      <c r="FZ1213" s="224"/>
      <c r="GA1213" s="224"/>
      <c r="GB1213" s="224"/>
      <c r="GC1213" s="224"/>
      <c r="GD1213" s="224"/>
      <c r="GE1213" s="224"/>
    </row>
    <row r="1214" spans="1:187" s="225" customFormat="1" ht="18" customHeight="1">
      <c r="A1214" s="369"/>
      <c r="B1214" s="97" t="s">
        <v>1192</v>
      </c>
      <c r="C1214" s="352" t="s">
        <v>1322</v>
      </c>
      <c r="D1214" s="341">
        <v>8</v>
      </c>
      <c r="E1214" s="341">
        <v>4</v>
      </c>
      <c r="F1214" s="373"/>
      <c r="G1214" s="374"/>
      <c r="H1214" s="374"/>
      <c r="I1214" s="374"/>
      <c r="J1214" s="374"/>
      <c r="K1214" s="374"/>
      <c r="L1214" s="375"/>
      <c r="M1214" s="341">
        <v>2</v>
      </c>
      <c r="N1214" s="341">
        <v>3</v>
      </c>
      <c r="O1214" s="341">
        <v>3</v>
      </c>
      <c r="P1214" s="341">
        <v>2</v>
      </c>
      <c r="Q1214" s="237"/>
      <c r="R1214" s="209"/>
      <c r="S1214" s="209"/>
      <c r="T1214" s="224"/>
      <c r="U1214" s="224"/>
      <c r="V1214" s="224"/>
      <c r="W1214" s="224"/>
      <c r="X1214" s="224"/>
      <c r="Y1214" s="224"/>
      <c r="Z1214" s="224"/>
      <c r="AA1214" s="224"/>
      <c r="AB1214" s="224"/>
      <c r="AC1214" s="224"/>
      <c r="AD1214" s="224"/>
      <c r="AE1214" s="224"/>
      <c r="AF1214" s="224"/>
      <c r="AG1214" s="224"/>
      <c r="AH1214" s="224"/>
      <c r="AI1214" s="224"/>
      <c r="AJ1214" s="224"/>
      <c r="AK1214" s="224"/>
      <c r="AL1214" s="224"/>
      <c r="AM1214" s="224"/>
      <c r="AN1214" s="224"/>
      <c r="AO1214" s="224"/>
      <c r="AP1214" s="224"/>
      <c r="AQ1214" s="224"/>
      <c r="AR1214" s="224"/>
      <c r="AS1214" s="224"/>
      <c r="AT1214" s="224"/>
      <c r="AU1214" s="224"/>
      <c r="AV1214" s="224"/>
      <c r="AW1214" s="224"/>
      <c r="AX1214" s="224"/>
      <c r="AY1214" s="224"/>
      <c r="AZ1214" s="224"/>
      <c r="BA1214" s="224"/>
      <c r="BB1214" s="224"/>
      <c r="BC1214" s="224"/>
      <c r="BD1214" s="224"/>
      <c r="BE1214" s="224"/>
      <c r="BF1214" s="224"/>
      <c r="BG1214" s="224"/>
      <c r="BH1214" s="224"/>
      <c r="BI1214" s="224"/>
      <c r="BJ1214" s="224"/>
      <c r="BK1214" s="224"/>
      <c r="BL1214" s="224"/>
      <c r="BM1214" s="224"/>
      <c r="BN1214" s="224"/>
      <c r="BO1214" s="224"/>
      <c r="BP1214" s="224"/>
      <c r="BQ1214" s="224"/>
      <c r="BR1214" s="224"/>
      <c r="BS1214" s="224"/>
      <c r="BT1214" s="224"/>
      <c r="BU1214" s="224"/>
      <c r="BV1214" s="224"/>
      <c r="BW1214" s="224"/>
      <c r="BX1214" s="224"/>
      <c r="BY1214" s="224"/>
      <c r="BZ1214" s="224"/>
      <c r="CA1214" s="224"/>
      <c r="CB1214" s="224"/>
      <c r="CC1214" s="224"/>
      <c r="CD1214" s="224"/>
      <c r="CE1214" s="224"/>
      <c r="CF1214" s="224"/>
      <c r="CG1214" s="224"/>
      <c r="CH1214" s="224"/>
      <c r="CI1214" s="224"/>
      <c r="CJ1214" s="224"/>
      <c r="CK1214" s="224"/>
      <c r="CL1214" s="224"/>
      <c r="CM1214" s="224"/>
      <c r="CN1214" s="224"/>
      <c r="CO1214" s="224"/>
      <c r="CP1214" s="224"/>
      <c r="CQ1214" s="224"/>
      <c r="CR1214" s="224"/>
      <c r="CS1214" s="224"/>
      <c r="CT1214" s="224"/>
      <c r="CU1214" s="224"/>
      <c r="CV1214" s="224"/>
      <c r="CW1214" s="224"/>
      <c r="CX1214" s="224"/>
      <c r="CY1214" s="224"/>
      <c r="CZ1214" s="224"/>
      <c r="DA1214" s="224"/>
      <c r="DB1214" s="224"/>
      <c r="DC1214" s="224"/>
      <c r="DD1214" s="224"/>
      <c r="DE1214" s="224"/>
      <c r="DF1214" s="224"/>
      <c r="DG1214" s="224"/>
      <c r="DH1214" s="224"/>
      <c r="DI1214" s="224"/>
      <c r="DJ1214" s="224"/>
      <c r="DK1214" s="224"/>
      <c r="DL1214" s="224"/>
      <c r="DM1214" s="224"/>
      <c r="DN1214" s="224"/>
      <c r="DO1214" s="224"/>
      <c r="DP1214" s="224"/>
      <c r="DQ1214" s="224"/>
      <c r="DR1214" s="224"/>
      <c r="DS1214" s="224"/>
      <c r="DT1214" s="224"/>
      <c r="DU1214" s="224"/>
      <c r="DV1214" s="224"/>
      <c r="DW1214" s="224"/>
      <c r="DX1214" s="224"/>
      <c r="DY1214" s="224"/>
      <c r="DZ1214" s="224"/>
      <c r="EA1214" s="224"/>
      <c r="EB1214" s="224"/>
      <c r="EC1214" s="224"/>
      <c r="ED1214" s="224"/>
      <c r="EE1214" s="224"/>
      <c r="EF1214" s="224"/>
      <c r="EG1214" s="224"/>
      <c r="EH1214" s="224"/>
      <c r="EI1214" s="224"/>
      <c r="EJ1214" s="224"/>
      <c r="EK1214" s="224"/>
      <c r="EL1214" s="224"/>
      <c r="EM1214" s="224"/>
      <c r="EN1214" s="224"/>
      <c r="EO1214" s="224"/>
      <c r="EP1214" s="224"/>
      <c r="EQ1214" s="224"/>
      <c r="ER1214" s="224"/>
      <c r="ES1214" s="224"/>
      <c r="ET1214" s="224"/>
      <c r="EU1214" s="224"/>
      <c r="EV1214" s="224"/>
      <c r="EW1214" s="224"/>
      <c r="EX1214" s="224"/>
      <c r="EY1214" s="224"/>
      <c r="EZ1214" s="224"/>
      <c r="FA1214" s="224"/>
      <c r="FB1214" s="224"/>
      <c r="FC1214" s="224"/>
      <c r="FD1214" s="224"/>
      <c r="FE1214" s="224"/>
      <c r="FF1214" s="224"/>
      <c r="FG1214" s="224"/>
      <c r="FH1214" s="224"/>
      <c r="FI1214" s="224"/>
      <c r="FJ1214" s="224"/>
      <c r="FK1214" s="224"/>
      <c r="FL1214" s="224"/>
      <c r="FM1214" s="224"/>
      <c r="FN1214" s="224"/>
      <c r="FO1214" s="224"/>
      <c r="FP1214" s="224"/>
      <c r="FQ1214" s="224"/>
      <c r="FR1214" s="224"/>
      <c r="FS1214" s="224"/>
      <c r="FT1214" s="224"/>
      <c r="FU1214" s="224"/>
      <c r="FV1214" s="224"/>
      <c r="FW1214" s="224"/>
      <c r="FX1214" s="224"/>
      <c r="FY1214" s="224"/>
      <c r="FZ1214" s="224"/>
      <c r="GA1214" s="224"/>
      <c r="GB1214" s="224"/>
      <c r="GC1214" s="224"/>
      <c r="GD1214" s="224"/>
      <c r="GE1214" s="224"/>
    </row>
    <row r="1215" spans="1:57" s="213" customFormat="1" ht="15.75" customHeight="1">
      <c r="A1215" s="376"/>
      <c r="B1215" s="359" t="s">
        <v>670</v>
      </c>
      <c r="C1215" s="360"/>
      <c r="D1215" s="377">
        <v>8</v>
      </c>
      <c r="E1215" s="377">
        <v>1</v>
      </c>
      <c r="F1215" s="378"/>
      <c r="G1215" s="378"/>
      <c r="H1215" s="378"/>
      <c r="I1215" s="378"/>
      <c r="J1215" s="378"/>
      <c r="K1215" s="378"/>
      <c r="L1215" s="379"/>
      <c r="M1215" s="380">
        <f>SUM(M1216:M1216)</f>
        <v>2</v>
      </c>
      <c r="N1215" s="380">
        <f>SUM(N1216:N1216)</f>
        <v>2</v>
      </c>
      <c r="O1215" s="380">
        <f>SUM(O1216:O1216)</f>
        <v>2</v>
      </c>
      <c r="P1215" s="380">
        <f>SUM(P1216:P1216)</f>
        <v>2</v>
      </c>
      <c r="Q1215" s="214"/>
      <c r="R1215" s="212"/>
      <c r="S1215" s="212"/>
      <c r="BA1215" s="214"/>
      <c r="BB1215" s="212"/>
      <c r="BC1215" s="212"/>
      <c r="BD1215" s="212"/>
      <c r="BE1215" s="212"/>
    </row>
    <row r="1216" spans="1:57" s="213" customFormat="1" ht="16.5" customHeight="1">
      <c r="A1216" s="12"/>
      <c r="B1216" s="97" t="s">
        <v>1193</v>
      </c>
      <c r="C1216" s="352" t="s">
        <v>1194</v>
      </c>
      <c r="D1216" s="341">
        <v>8</v>
      </c>
      <c r="E1216" s="341">
        <v>1</v>
      </c>
      <c r="F1216" s="374">
        <v>30</v>
      </c>
      <c r="G1216" s="374">
        <v>30</v>
      </c>
      <c r="H1216" s="374">
        <v>30</v>
      </c>
      <c r="I1216" s="374">
        <v>30</v>
      </c>
      <c r="J1216" s="374"/>
      <c r="K1216" s="374">
        <v>30</v>
      </c>
      <c r="L1216" s="374"/>
      <c r="M1216" s="341">
        <v>2</v>
      </c>
      <c r="N1216" s="341">
        <v>2</v>
      </c>
      <c r="O1216" s="341">
        <v>2</v>
      </c>
      <c r="P1216" s="341">
        <v>2</v>
      </c>
      <c r="Q1216" s="214"/>
      <c r="R1216" s="212"/>
      <c r="S1216" s="212"/>
      <c r="BA1216" s="214"/>
      <c r="BB1216" s="212"/>
      <c r="BC1216" s="212"/>
      <c r="BD1216" s="212"/>
      <c r="BE1216" s="212"/>
    </row>
    <row r="1217" spans="1:19" s="207" customFormat="1" ht="14.25" customHeight="1">
      <c r="A1217" s="381"/>
      <c r="B1217" s="359" t="s">
        <v>37</v>
      </c>
      <c r="C1217" s="363"/>
      <c r="D1217" s="380">
        <v>9</v>
      </c>
      <c r="E1217" s="380">
        <v>1</v>
      </c>
      <c r="F1217" s="380"/>
      <c r="G1217" s="380"/>
      <c r="H1217" s="380"/>
      <c r="I1217" s="380"/>
      <c r="J1217" s="380"/>
      <c r="K1217" s="380"/>
      <c r="L1217" s="380"/>
      <c r="M1217" s="380">
        <v>2</v>
      </c>
      <c r="N1217" s="380">
        <v>2</v>
      </c>
      <c r="O1217" s="380">
        <v>3</v>
      </c>
      <c r="P1217" s="380">
        <v>2</v>
      </c>
      <c r="Q1217" s="254">
        <f>SUM(Q1219:Q1223)</f>
        <v>0</v>
      </c>
      <c r="R1217" s="206">
        <f>SUM(R1219:R1223)</f>
        <v>0</v>
      </c>
      <c r="S1217" s="206">
        <f>SUM(S1219:S1223)</f>
        <v>0</v>
      </c>
    </row>
    <row r="1218" spans="1:19" s="207" customFormat="1" ht="14.25" customHeight="1">
      <c r="A1218" s="50"/>
      <c r="B1218" s="97" t="s">
        <v>1195</v>
      </c>
      <c r="C1218" s="352" t="s">
        <v>476</v>
      </c>
      <c r="D1218" s="341">
        <v>9</v>
      </c>
      <c r="E1218" s="341">
        <v>1</v>
      </c>
      <c r="F1218" s="382"/>
      <c r="G1218" s="382"/>
      <c r="H1218" s="382"/>
      <c r="I1218" s="382"/>
      <c r="J1218" s="382"/>
      <c r="K1218" s="382"/>
      <c r="L1218" s="382"/>
      <c r="M1218" s="341">
        <v>2</v>
      </c>
      <c r="N1218" s="341">
        <v>2</v>
      </c>
      <c r="O1218" s="341">
        <v>3</v>
      </c>
      <c r="P1218" s="341">
        <v>2</v>
      </c>
      <c r="Q1218" s="254"/>
      <c r="R1218" s="206"/>
      <c r="S1218" s="206"/>
    </row>
    <row r="1219" spans="1:188" s="276" customFormat="1" ht="19.5" customHeight="1">
      <c r="A1219" s="13">
        <v>61</v>
      </c>
      <c r="B1219" s="92" t="s">
        <v>229</v>
      </c>
      <c r="C1219" s="45"/>
      <c r="D1219" s="44">
        <v>1449</v>
      </c>
      <c r="E1219" s="44">
        <v>228</v>
      </c>
      <c r="F1219" s="44"/>
      <c r="G1219" s="44">
        <v>1400</v>
      </c>
      <c r="H1219" s="44">
        <v>1405</v>
      </c>
      <c r="I1219" s="44">
        <v>1410</v>
      </c>
      <c r="J1219" s="44"/>
      <c r="K1219" s="44">
        <v>1410</v>
      </c>
      <c r="L1219" s="44">
        <f>SUM(L1220,L1224)</f>
        <v>1</v>
      </c>
      <c r="M1219" s="44">
        <v>9</v>
      </c>
      <c r="N1219" s="44">
        <v>9</v>
      </c>
      <c r="O1219" s="44">
        <v>7</v>
      </c>
      <c r="P1219" s="44">
        <v>7</v>
      </c>
      <c r="Q1219" s="274">
        <f>Q1224</f>
        <v>0</v>
      </c>
      <c r="R1219" s="273">
        <f>R1224</f>
        <v>0</v>
      </c>
      <c r="S1219" s="273">
        <f>S1224</f>
        <v>0</v>
      </c>
      <c r="T1219" s="275"/>
      <c r="U1219" s="275"/>
      <c r="V1219" s="275"/>
      <c r="W1219" s="275"/>
      <c r="X1219" s="275"/>
      <c r="Y1219" s="275"/>
      <c r="Z1219" s="275"/>
      <c r="AA1219" s="275"/>
      <c r="AB1219" s="275"/>
      <c r="AC1219" s="275"/>
      <c r="AD1219" s="275"/>
      <c r="AE1219" s="275"/>
      <c r="AF1219" s="275"/>
      <c r="AG1219" s="275"/>
      <c r="AH1219" s="275"/>
      <c r="AI1219" s="275"/>
      <c r="AJ1219" s="275"/>
      <c r="AK1219" s="275"/>
      <c r="AL1219" s="275"/>
      <c r="AM1219" s="275"/>
      <c r="AN1219" s="275"/>
      <c r="AO1219" s="275"/>
      <c r="AP1219" s="275"/>
      <c r="AQ1219" s="275"/>
      <c r="AR1219" s="275"/>
      <c r="AS1219" s="275"/>
      <c r="AT1219" s="275"/>
      <c r="AU1219" s="275"/>
      <c r="AV1219" s="275"/>
      <c r="AW1219" s="275"/>
      <c r="AX1219" s="275"/>
      <c r="AY1219" s="275"/>
      <c r="AZ1219" s="275"/>
      <c r="BA1219" s="275"/>
      <c r="BB1219" s="275"/>
      <c r="BC1219" s="275"/>
      <c r="BD1219" s="275"/>
      <c r="BE1219" s="275"/>
      <c r="BF1219" s="275"/>
      <c r="BG1219" s="275"/>
      <c r="BH1219" s="275"/>
      <c r="BI1219" s="275"/>
      <c r="BJ1219" s="275"/>
      <c r="BK1219" s="275"/>
      <c r="BL1219" s="275"/>
      <c r="BM1219" s="275"/>
      <c r="BN1219" s="275"/>
      <c r="BO1219" s="275"/>
      <c r="BP1219" s="275"/>
      <c r="BQ1219" s="275"/>
      <c r="BR1219" s="275"/>
      <c r="BS1219" s="275"/>
      <c r="BT1219" s="275"/>
      <c r="BU1219" s="275"/>
      <c r="BV1219" s="275"/>
      <c r="BW1219" s="275"/>
      <c r="BX1219" s="275"/>
      <c r="BY1219" s="275"/>
      <c r="BZ1219" s="275"/>
      <c r="CA1219" s="275"/>
      <c r="CB1219" s="275"/>
      <c r="CC1219" s="275"/>
      <c r="CD1219" s="275"/>
      <c r="CE1219" s="275"/>
      <c r="CF1219" s="275"/>
      <c r="CG1219" s="275"/>
      <c r="CH1219" s="275"/>
      <c r="CI1219" s="275"/>
      <c r="CJ1219" s="275"/>
      <c r="CK1219" s="275"/>
      <c r="CL1219" s="275"/>
      <c r="CM1219" s="275"/>
      <c r="CN1219" s="275"/>
      <c r="CO1219" s="275"/>
      <c r="CP1219" s="275"/>
      <c r="CQ1219" s="275"/>
      <c r="CR1219" s="275"/>
      <c r="CS1219" s="275"/>
      <c r="CT1219" s="275"/>
      <c r="CU1219" s="275"/>
      <c r="CV1219" s="275"/>
      <c r="CW1219" s="275"/>
      <c r="CX1219" s="275"/>
      <c r="CY1219" s="275"/>
      <c r="CZ1219" s="275"/>
      <c r="DA1219" s="275"/>
      <c r="DB1219" s="275"/>
      <c r="DC1219" s="275"/>
      <c r="DD1219" s="275"/>
      <c r="DE1219" s="275"/>
      <c r="DF1219" s="275"/>
      <c r="DG1219" s="275"/>
      <c r="DH1219" s="275"/>
      <c r="DI1219" s="275"/>
      <c r="DJ1219" s="275"/>
      <c r="DK1219" s="275"/>
      <c r="DL1219" s="275"/>
      <c r="DM1219" s="275"/>
      <c r="DN1219" s="275"/>
      <c r="DO1219" s="275"/>
      <c r="DP1219" s="275"/>
      <c r="DQ1219" s="275"/>
      <c r="DR1219" s="275"/>
      <c r="DS1219" s="275"/>
      <c r="DT1219" s="275"/>
      <c r="DU1219" s="275"/>
      <c r="DV1219" s="275"/>
      <c r="DW1219" s="275"/>
      <c r="DX1219" s="275"/>
      <c r="DY1219" s="275"/>
      <c r="DZ1219" s="275"/>
      <c r="EA1219" s="275"/>
      <c r="EB1219" s="275"/>
      <c r="EC1219" s="275"/>
      <c r="ED1219" s="275"/>
      <c r="EE1219" s="275"/>
      <c r="EF1219" s="275"/>
      <c r="EG1219" s="275"/>
      <c r="EH1219" s="275"/>
      <c r="EI1219" s="275"/>
      <c r="EJ1219" s="275"/>
      <c r="EK1219" s="275"/>
      <c r="EL1219" s="275"/>
      <c r="EM1219" s="275"/>
      <c r="EN1219" s="275"/>
      <c r="EO1219" s="275"/>
      <c r="EP1219" s="275"/>
      <c r="EQ1219" s="275"/>
      <c r="ER1219" s="275"/>
      <c r="ES1219" s="275"/>
      <c r="ET1219" s="275"/>
      <c r="EU1219" s="275"/>
      <c r="EV1219" s="275"/>
      <c r="EW1219" s="275"/>
      <c r="EX1219" s="275"/>
      <c r="EY1219" s="275"/>
      <c r="EZ1219" s="275"/>
      <c r="FA1219" s="275"/>
      <c r="FB1219" s="275"/>
      <c r="FC1219" s="275"/>
      <c r="FD1219" s="275"/>
      <c r="FE1219" s="275"/>
      <c r="FF1219" s="275"/>
      <c r="FG1219" s="275"/>
      <c r="FH1219" s="275"/>
      <c r="FI1219" s="275"/>
      <c r="FJ1219" s="275"/>
      <c r="FK1219" s="275"/>
      <c r="FL1219" s="275"/>
      <c r="FM1219" s="275"/>
      <c r="FN1219" s="275"/>
      <c r="FO1219" s="275"/>
      <c r="FP1219" s="275"/>
      <c r="FQ1219" s="275"/>
      <c r="FR1219" s="275"/>
      <c r="FS1219" s="275"/>
      <c r="FT1219" s="275"/>
      <c r="FU1219" s="275"/>
      <c r="FV1219" s="275"/>
      <c r="FW1219" s="275"/>
      <c r="FX1219" s="275"/>
      <c r="FY1219" s="275"/>
      <c r="FZ1219" s="275"/>
      <c r="GA1219" s="275"/>
      <c r="GB1219" s="275"/>
      <c r="GC1219" s="275"/>
      <c r="GD1219" s="275"/>
      <c r="GE1219" s="275"/>
      <c r="GF1219" s="275"/>
    </row>
    <row r="1220" spans="1:19" s="280" customFormat="1" ht="18" customHeight="1">
      <c r="A1220" s="50"/>
      <c r="B1220" s="93" t="s">
        <v>669</v>
      </c>
      <c r="C1220" s="94"/>
      <c r="D1220" s="60"/>
      <c r="E1220" s="60"/>
      <c r="F1220" s="60"/>
      <c r="G1220" s="60"/>
      <c r="H1220" s="60"/>
      <c r="I1220" s="60"/>
      <c r="J1220" s="60"/>
      <c r="K1220" s="60"/>
      <c r="L1220" s="60">
        <f>L1221+L1222+L1223</f>
        <v>1</v>
      </c>
      <c r="M1220" s="60">
        <f>M1221+M1222+M1223</f>
        <v>6</v>
      </c>
      <c r="N1220" s="60">
        <f>N1221+N1222+N1223</f>
        <v>6</v>
      </c>
      <c r="O1220" s="60">
        <f>O1221+O1222+O1223</f>
        <v>5</v>
      </c>
      <c r="P1220" s="60">
        <f>P1221+P1222+P1223</f>
        <v>5</v>
      </c>
      <c r="Q1220" s="278"/>
      <c r="R1220" s="278"/>
      <c r="S1220" s="279"/>
    </row>
    <row r="1221" spans="1:19" s="280" customFormat="1" ht="18" customHeight="1">
      <c r="A1221" s="50"/>
      <c r="B1221" s="97" t="s">
        <v>1196</v>
      </c>
      <c r="C1221" s="15" t="s">
        <v>1322</v>
      </c>
      <c r="D1221" s="40">
        <v>54</v>
      </c>
      <c r="E1221" s="40">
        <v>6</v>
      </c>
      <c r="F1221" s="40"/>
      <c r="G1221" s="40"/>
      <c r="H1221" s="40"/>
      <c r="I1221" s="40"/>
      <c r="J1221" s="40"/>
      <c r="K1221" s="40"/>
      <c r="L1221" s="40"/>
      <c r="M1221" s="40">
        <v>2</v>
      </c>
      <c r="N1221" s="40">
        <v>2</v>
      </c>
      <c r="O1221" s="40">
        <v>1</v>
      </c>
      <c r="P1221" s="40">
        <v>1</v>
      </c>
      <c r="Q1221" s="278"/>
      <c r="R1221" s="278"/>
      <c r="S1221" s="279"/>
    </row>
    <row r="1222" spans="1:187" s="285" customFormat="1" ht="18" customHeight="1">
      <c r="A1222" s="12"/>
      <c r="B1222" s="97" t="s">
        <v>1197</v>
      </c>
      <c r="C1222" s="15" t="s">
        <v>1312</v>
      </c>
      <c r="D1222" s="40">
        <v>35</v>
      </c>
      <c r="E1222" s="40">
        <v>2</v>
      </c>
      <c r="F1222" s="40" t="s">
        <v>556</v>
      </c>
      <c r="G1222" s="40">
        <v>15</v>
      </c>
      <c r="H1222" s="40">
        <v>15</v>
      </c>
      <c r="I1222" s="40">
        <v>15</v>
      </c>
      <c r="J1222" s="40"/>
      <c r="K1222" s="40">
        <v>15</v>
      </c>
      <c r="L1222" s="40">
        <v>1</v>
      </c>
      <c r="M1222" s="40">
        <v>2</v>
      </c>
      <c r="N1222" s="40">
        <v>2</v>
      </c>
      <c r="O1222" s="40">
        <v>2</v>
      </c>
      <c r="P1222" s="40">
        <v>2</v>
      </c>
      <c r="Q1222" s="283"/>
      <c r="R1222" s="281"/>
      <c r="S1222" s="281"/>
      <c r="T1222" s="284"/>
      <c r="U1222" s="284"/>
      <c r="V1222" s="284"/>
      <c r="W1222" s="284"/>
      <c r="X1222" s="284"/>
      <c r="Y1222" s="284"/>
      <c r="Z1222" s="284"/>
      <c r="AA1222" s="284"/>
      <c r="AB1222" s="284"/>
      <c r="AC1222" s="284"/>
      <c r="AD1222" s="284"/>
      <c r="AE1222" s="284"/>
      <c r="AF1222" s="284"/>
      <c r="AG1222" s="284"/>
      <c r="AH1222" s="284"/>
      <c r="AI1222" s="284"/>
      <c r="AJ1222" s="284"/>
      <c r="AK1222" s="284"/>
      <c r="AL1222" s="284"/>
      <c r="AM1222" s="284"/>
      <c r="AN1222" s="284"/>
      <c r="AO1222" s="284"/>
      <c r="AP1222" s="284"/>
      <c r="AQ1222" s="284"/>
      <c r="AR1222" s="284"/>
      <c r="AS1222" s="284"/>
      <c r="AT1222" s="284"/>
      <c r="AU1222" s="284"/>
      <c r="AV1222" s="284"/>
      <c r="AW1222" s="284"/>
      <c r="AX1222" s="284"/>
      <c r="AY1222" s="284"/>
      <c r="AZ1222" s="284"/>
      <c r="BA1222" s="284"/>
      <c r="BB1222" s="284"/>
      <c r="BC1222" s="284"/>
      <c r="BD1222" s="284"/>
      <c r="BE1222" s="284"/>
      <c r="BF1222" s="284"/>
      <c r="BG1222" s="284"/>
      <c r="BH1222" s="284"/>
      <c r="BI1222" s="284"/>
      <c r="BJ1222" s="284"/>
      <c r="BK1222" s="284"/>
      <c r="BL1222" s="284"/>
      <c r="BM1222" s="284"/>
      <c r="BN1222" s="284"/>
      <c r="BO1222" s="284"/>
      <c r="BP1222" s="284"/>
      <c r="BQ1222" s="284"/>
      <c r="BR1222" s="284"/>
      <c r="BS1222" s="284"/>
      <c r="BT1222" s="284"/>
      <c r="BU1222" s="284"/>
      <c r="BV1222" s="284"/>
      <c r="BW1222" s="284"/>
      <c r="BX1222" s="284"/>
      <c r="BY1222" s="284"/>
      <c r="BZ1222" s="284"/>
      <c r="CA1222" s="284"/>
      <c r="CB1222" s="284"/>
      <c r="CC1222" s="284"/>
      <c r="CD1222" s="284"/>
      <c r="CE1222" s="284"/>
      <c r="CF1222" s="284"/>
      <c r="CG1222" s="284"/>
      <c r="CH1222" s="284"/>
      <c r="CI1222" s="284"/>
      <c r="CJ1222" s="284"/>
      <c r="CK1222" s="284"/>
      <c r="CL1222" s="284"/>
      <c r="CM1222" s="284"/>
      <c r="CN1222" s="284"/>
      <c r="CO1222" s="284"/>
      <c r="CP1222" s="284"/>
      <c r="CQ1222" s="284"/>
      <c r="CR1222" s="284"/>
      <c r="CS1222" s="284"/>
      <c r="CT1222" s="284"/>
      <c r="CU1222" s="284"/>
      <c r="CV1222" s="284"/>
      <c r="CW1222" s="284"/>
      <c r="CX1222" s="284"/>
      <c r="CY1222" s="284"/>
      <c r="CZ1222" s="284"/>
      <c r="DA1222" s="284"/>
      <c r="DB1222" s="284"/>
      <c r="DC1222" s="284"/>
      <c r="DD1222" s="284"/>
      <c r="DE1222" s="284"/>
      <c r="DF1222" s="284"/>
      <c r="DG1222" s="284"/>
      <c r="DH1222" s="284"/>
      <c r="DI1222" s="284"/>
      <c r="DJ1222" s="284"/>
      <c r="DK1222" s="284"/>
      <c r="DL1222" s="284"/>
      <c r="DM1222" s="284"/>
      <c r="DN1222" s="284"/>
      <c r="DO1222" s="284"/>
      <c r="DP1222" s="284"/>
      <c r="DQ1222" s="284"/>
      <c r="DR1222" s="284"/>
      <c r="DS1222" s="284"/>
      <c r="DT1222" s="284"/>
      <c r="DU1222" s="284"/>
      <c r="DV1222" s="284"/>
      <c r="DW1222" s="284"/>
      <c r="DX1222" s="284"/>
      <c r="DY1222" s="284"/>
      <c r="DZ1222" s="284"/>
      <c r="EA1222" s="284"/>
      <c r="EB1222" s="284"/>
      <c r="EC1222" s="284"/>
      <c r="ED1222" s="284"/>
      <c r="EE1222" s="284"/>
      <c r="EF1222" s="284"/>
      <c r="EG1222" s="284"/>
      <c r="EH1222" s="284"/>
      <c r="EI1222" s="284"/>
      <c r="EJ1222" s="284"/>
      <c r="EK1222" s="284"/>
      <c r="EL1222" s="284"/>
      <c r="EM1222" s="284"/>
      <c r="EN1222" s="284"/>
      <c r="EO1222" s="284"/>
      <c r="EP1222" s="284"/>
      <c r="EQ1222" s="284"/>
      <c r="ER1222" s="284"/>
      <c r="ES1222" s="284"/>
      <c r="ET1222" s="284"/>
      <c r="EU1222" s="284"/>
      <c r="EV1222" s="284"/>
      <c r="EW1222" s="284"/>
      <c r="EX1222" s="284"/>
      <c r="EY1222" s="284"/>
      <c r="EZ1222" s="284"/>
      <c r="FA1222" s="284"/>
      <c r="FB1222" s="284"/>
      <c r="FC1222" s="284"/>
      <c r="FD1222" s="284"/>
      <c r="FE1222" s="284"/>
      <c r="FF1222" s="284"/>
      <c r="FG1222" s="284"/>
      <c r="FH1222" s="284"/>
      <c r="FI1222" s="284"/>
      <c r="FJ1222" s="284"/>
      <c r="FK1222" s="284"/>
      <c r="FL1222" s="284"/>
      <c r="FM1222" s="284"/>
      <c r="FN1222" s="284"/>
      <c r="FO1222" s="284"/>
      <c r="FP1222" s="284"/>
      <c r="FQ1222" s="284"/>
      <c r="FR1222" s="284"/>
      <c r="FS1222" s="284"/>
      <c r="FT1222" s="284"/>
      <c r="FU1222" s="284"/>
      <c r="FV1222" s="284"/>
      <c r="FW1222" s="284"/>
      <c r="FX1222" s="284"/>
      <c r="FY1222" s="284"/>
      <c r="FZ1222" s="284"/>
      <c r="GA1222" s="284"/>
      <c r="GB1222" s="284"/>
      <c r="GC1222" s="284"/>
      <c r="GD1222" s="284"/>
      <c r="GE1222" s="284"/>
    </row>
    <row r="1223" spans="1:187" s="285" customFormat="1" ht="18" customHeight="1">
      <c r="A1223" s="12"/>
      <c r="B1223" s="105" t="s">
        <v>1198</v>
      </c>
      <c r="C1223" s="15" t="s">
        <v>982</v>
      </c>
      <c r="D1223" s="40">
        <v>31</v>
      </c>
      <c r="E1223" s="40">
        <v>5</v>
      </c>
      <c r="F1223" s="40"/>
      <c r="G1223" s="40"/>
      <c r="H1223" s="40"/>
      <c r="I1223" s="40"/>
      <c r="J1223" s="40"/>
      <c r="K1223" s="40"/>
      <c r="L1223" s="40"/>
      <c r="M1223" s="40">
        <v>2</v>
      </c>
      <c r="N1223" s="40">
        <v>2</v>
      </c>
      <c r="O1223" s="40">
        <v>2</v>
      </c>
      <c r="P1223" s="40">
        <v>2</v>
      </c>
      <c r="Q1223" s="283"/>
      <c r="R1223" s="281"/>
      <c r="S1223" s="281"/>
      <c r="T1223" s="284"/>
      <c r="U1223" s="284"/>
      <c r="V1223" s="284"/>
      <c r="W1223" s="284"/>
      <c r="X1223" s="284"/>
      <c r="Y1223" s="284"/>
      <c r="Z1223" s="284"/>
      <c r="AA1223" s="284"/>
      <c r="AB1223" s="284"/>
      <c r="AC1223" s="284"/>
      <c r="AD1223" s="284"/>
      <c r="AE1223" s="284"/>
      <c r="AF1223" s="284"/>
      <c r="AG1223" s="284"/>
      <c r="AH1223" s="284"/>
      <c r="AI1223" s="284"/>
      <c r="AJ1223" s="284"/>
      <c r="AK1223" s="284"/>
      <c r="AL1223" s="284"/>
      <c r="AM1223" s="284"/>
      <c r="AN1223" s="284"/>
      <c r="AO1223" s="284"/>
      <c r="AP1223" s="284"/>
      <c r="AQ1223" s="284"/>
      <c r="AR1223" s="284"/>
      <c r="AS1223" s="284"/>
      <c r="AT1223" s="284"/>
      <c r="AU1223" s="284"/>
      <c r="AV1223" s="284"/>
      <c r="AW1223" s="284"/>
      <c r="AX1223" s="284"/>
      <c r="AY1223" s="284"/>
      <c r="AZ1223" s="284"/>
      <c r="BA1223" s="284"/>
      <c r="BB1223" s="284"/>
      <c r="BC1223" s="284"/>
      <c r="BD1223" s="284"/>
      <c r="BE1223" s="284"/>
      <c r="BF1223" s="284"/>
      <c r="BG1223" s="284"/>
      <c r="BH1223" s="284"/>
      <c r="BI1223" s="284"/>
      <c r="BJ1223" s="284"/>
      <c r="BK1223" s="284"/>
      <c r="BL1223" s="284"/>
      <c r="BM1223" s="284"/>
      <c r="BN1223" s="284"/>
      <c r="BO1223" s="284"/>
      <c r="BP1223" s="284"/>
      <c r="BQ1223" s="284"/>
      <c r="BR1223" s="284"/>
      <c r="BS1223" s="284"/>
      <c r="BT1223" s="284"/>
      <c r="BU1223" s="284"/>
      <c r="BV1223" s="284"/>
      <c r="BW1223" s="284"/>
      <c r="BX1223" s="284"/>
      <c r="BY1223" s="284"/>
      <c r="BZ1223" s="284"/>
      <c r="CA1223" s="284"/>
      <c r="CB1223" s="284"/>
      <c r="CC1223" s="284"/>
      <c r="CD1223" s="284"/>
      <c r="CE1223" s="284"/>
      <c r="CF1223" s="284"/>
      <c r="CG1223" s="284"/>
      <c r="CH1223" s="284"/>
      <c r="CI1223" s="284"/>
      <c r="CJ1223" s="284"/>
      <c r="CK1223" s="284"/>
      <c r="CL1223" s="284"/>
      <c r="CM1223" s="284"/>
      <c r="CN1223" s="284"/>
      <c r="CO1223" s="284"/>
      <c r="CP1223" s="284"/>
      <c r="CQ1223" s="284"/>
      <c r="CR1223" s="284"/>
      <c r="CS1223" s="284"/>
      <c r="CT1223" s="284"/>
      <c r="CU1223" s="284"/>
      <c r="CV1223" s="284"/>
      <c r="CW1223" s="284"/>
      <c r="CX1223" s="284"/>
      <c r="CY1223" s="284"/>
      <c r="CZ1223" s="284"/>
      <c r="DA1223" s="284"/>
      <c r="DB1223" s="284"/>
      <c r="DC1223" s="284"/>
      <c r="DD1223" s="284"/>
      <c r="DE1223" s="284"/>
      <c r="DF1223" s="284"/>
      <c r="DG1223" s="284"/>
      <c r="DH1223" s="284"/>
      <c r="DI1223" s="284"/>
      <c r="DJ1223" s="284"/>
      <c r="DK1223" s="284"/>
      <c r="DL1223" s="284"/>
      <c r="DM1223" s="284"/>
      <c r="DN1223" s="284"/>
      <c r="DO1223" s="284"/>
      <c r="DP1223" s="284"/>
      <c r="DQ1223" s="284"/>
      <c r="DR1223" s="284"/>
      <c r="DS1223" s="284"/>
      <c r="DT1223" s="284"/>
      <c r="DU1223" s="284"/>
      <c r="DV1223" s="284"/>
      <c r="DW1223" s="284"/>
      <c r="DX1223" s="284"/>
      <c r="DY1223" s="284"/>
      <c r="DZ1223" s="284"/>
      <c r="EA1223" s="284"/>
      <c r="EB1223" s="284"/>
      <c r="EC1223" s="284"/>
      <c r="ED1223" s="284"/>
      <c r="EE1223" s="284"/>
      <c r="EF1223" s="284"/>
      <c r="EG1223" s="284"/>
      <c r="EH1223" s="284"/>
      <c r="EI1223" s="284"/>
      <c r="EJ1223" s="284"/>
      <c r="EK1223" s="284"/>
      <c r="EL1223" s="284"/>
      <c r="EM1223" s="284"/>
      <c r="EN1223" s="284"/>
      <c r="EO1223" s="284"/>
      <c r="EP1223" s="284"/>
      <c r="EQ1223" s="284"/>
      <c r="ER1223" s="284"/>
      <c r="ES1223" s="284"/>
      <c r="ET1223" s="284"/>
      <c r="EU1223" s="284"/>
      <c r="EV1223" s="284"/>
      <c r="EW1223" s="284"/>
      <c r="EX1223" s="284"/>
      <c r="EY1223" s="284"/>
      <c r="EZ1223" s="284"/>
      <c r="FA1223" s="284"/>
      <c r="FB1223" s="284"/>
      <c r="FC1223" s="284"/>
      <c r="FD1223" s="284"/>
      <c r="FE1223" s="284"/>
      <c r="FF1223" s="284"/>
      <c r="FG1223" s="284"/>
      <c r="FH1223" s="284"/>
      <c r="FI1223" s="284"/>
      <c r="FJ1223" s="284"/>
      <c r="FK1223" s="284"/>
      <c r="FL1223" s="284"/>
      <c r="FM1223" s="284"/>
      <c r="FN1223" s="284"/>
      <c r="FO1223" s="284"/>
      <c r="FP1223" s="284"/>
      <c r="FQ1223" s="284"/>
      <c r="FR1223" s="284"/>
      <c r="FS1223" s="284"/>
      <c r="FT1223" s="284"/>
      <c r="FU1223" s="284"/>
      <c r="FV1223" s="284"/>
      <c r="FW1223" s="284"/>
      <c r="FX1223" s="284"/>
      <c r="FY1223" s="284"/>
      <c r="FZ1223" s="284"/>
      <c r="GA1223" s="284"/>
      <c r="GB1223" s="284"/>
      <c r="GC1223" s="284"/>
      <c r="GD1223" s="284"/>
      <c r="GE1223" s="284"/>
    </row>
    <row r="1224" spans="1:57" s="288" customFormat="1" ht="18" customHeight="1">
      <c r="A1224" s="13"/>
      <c r="B1224" s="93" t="s">
        <v>670</v>
      </c>
      <c r="C1224" s="15"/>
      <c r="D1224" s="60">
        <f aca="true" t="shared" si="52" ref="D1224:K1224">SUM(D1225:D1225)</f>
        <v>27</v>
      </c>
      <c r="E1224" s="60">
        <f t="shared" si="52"/>
        <v>9</v>
      </c>
      <c r="F1224" s="60">
        <f t="shared" si="52"/>
        <v>29</v>
      </c>
      <c r="G1224" s="60">
        <f t="shared" si="52"/>
        <v>24</v>
      </c>
      <c r="H1224" s="60">
        <f t="shared" si="52"/>
        <v>26</v>
      </c>
      <c r="I1224" s="60">
        <f t="shared" si="52"/>
        <v>26</v>
      </c>
      <c r="J1224" s="60">
        <f t="shared" si="52"/>
        <v>0</v>
      </c>
      <c r="K1224" s="60">
        <f t="shared" si="52"/>
        <v>26</v>
      </c>
      <c r="L1224" s="60"/>
      <c r="M1224" s="60">
        <f>SUM(M1225:M1225)</f>
        <v>2</v>
      </c>
      <c r="N1224" s="60">
        <f>SUM(N1225:N1225)</f>
        <v>2</v>
      </c>
      <c r="O1224" s="60">
        <f>SUM(O1225:O1225)</f>
        <v>1</v>
      </c>
      <c r="P1224" s="60">
        <f>SUM(P1225:P1225)</f>
        <v>1</v>
      </c>
      <c r="Q1224" s="286"/>
      <c r="R1224" s="287"/>
      <c r="S1224" s="287"/>
      <c r="BA1224" s="286"/>
      <c r="BB1224" s="287"/>
      <c r="BC1224" s="287"/>
      <c r="BD1224" s="287"/>
      <c r="BE1224" s="287"/>
    </row>
    <row r="1225" spans="1:57" s="288" customFormat="1" ht="15.75" customHeight="1">
      <c r="A1225" s="13"/>
      <c r="B1225" s="349" t="s">
        <v>221</v>
      </c>
      <c r="C1225" s="15" t="s">
        <v>612</v>
      </c>
      <c r="D1225" s="40">
        <v>27</v>
      </c>
      <c r="E1225" s="40">
        <v>9</v>
      </c>
      <c r="F1225" s="40">
        <v>29</v>
      </c>
      <c r="G1225" s="40">
        <v>24</v>
      </c>
      <c r="H1225" s="40">
        <v>26</v>
      </c>
      <c r="I1225" s="40">
        <v>26</v>
      </c>
      <c r="J1225" s="40"/>
      <c r="K1225" s="40">
        <v>26</v>
      </c>
      <c r="L1225" s="40"/>
      <c r="M1225" s="40">
        <v>2</v>
      </c>
      <c r="N1225" s="40">
        <v>2</v>
      </c>
      <c r="O1225" s="40">
        <v>1</v>
      </c>
      <c r="P1225" s="40">
        <v>1</v>
      </c>
      <c r="Q1225" s="286"/>
      <c r="R1225" s="287"/>
      <c r="S1225" s="287"/>
      <c r="BA1225" s="286"/>
      <c r="BB1225" s="287"/>
      <c r="BC1225" s="287"/>
      <c r="BD1225" s="287"/>
      <c r="BE1225" s="287"/>
    </row>
    <row r="1226" spans="1:19" s="280" customFormat="1" ht="18" customHeight="1">
      <c r="A1226" s="50"/>
      <c r="B1226" s="93" t="s">
        <v>37</v>
      </c>
      <c r="C1226" s="94"/>
      <c r="D1226" s="60">
        <f aca="true" t="shared" si="53" ref="D1226:O1226">D1227</f>
        <v>23</v>
      </c>
      <c r="E1226" s="60">
        <f t="shared" si="53"/>
        <v>6</v>
      </c>
      <c r="F1226" s="60">
        <f t="shared" si="53"/>
        <v>0</v>
      </c>
      <c r="G1226" s="60">
        <f t="shared" si="53"/>
        <v>0</v>
      </c>
      <c r="H1226" s="60">
        <f t="shared" si="53"/>
        <v>0</v>
      </c>
      <c r="I1226" s="60">
        <f t="shared" si="53"/>
        <v>0</v>
      </c>
      <c r="J1226" s="60">
        <f t="shared" si="53"/>
        <v>0</v>
      </c>
      <c r="K1226" s="60">
        <f t="shared" si="53"/>
        <v>0</v>
      </c>
      <c r="L1226" s="60"/>
      <c r="M1226" s="60">
        <f t="shared" si="53"/>
        <v>1</v>
      </c>
      <c r="N1226" s="60">
        <f t="shared" si="53"/>
        <v>1</v>
      </c>
      <c r="O1226" s="60">
        <f t="shared" si="53"/>
        <v>1</v>
      </c>
      <c r="P1226" s="60">
        <f>P1227</f>
        <v>1</v>
      </c>
      <c r="Q1226" s="289">
        <f>SUM(Q1227:Q1290)</f>
        <v>0</v>
      </c>
      <c r="R1226" s="277">
        <f>SUM(R1227:R1290)</f>
        <v>24</v>
      </c>
      <c r="S1226" s="277">
        <f>SUM(S1227:S1290)</f>
        <v>0</v>
      </c>
    </row>
    <row r="1227" spans="1:19" s="288" customFormat="1" ht="15.75" customHeight="1">
      <c r="A1227" s="13"/>
      <c r="B1227" s="349" t="s">
        <v>222</v>
      </c>
      <c r="C1227" s="15" t="s">
        <v>476</v>
      </c>
      <c r="D1227" s="40">
        <v>23</v>
      </c>
      <c r="E1227" s="40">
        <v>6</v>
      </c>
      <c r="F1227" s="40"/>
      <c r="G1227" s="40"/>
      <c r="H1227" s="40"/>
      <c r="I1227" s="40"/>
      <c r="J1227" s="40"/>
      <c r="K1227" s="40"/>
      <c r="L1227" s="40"/>
      <c r="M1227" s="40">
        <v>1</v>
      </c>
      <c r="N1227" s="40">
        <v>1</v>
      </c>
      <c r="O1227" s="40">
        <v>1</v>
      </c>
      <c r="P1227" s="40">
        <v>1</v>
      </c>
      <c r="Q1227" s="286"/>
      <c r="R1227" s="287"/>
      <c r="S1227" s="287"/>
    </row>
    <row r="1228" spans="1:19" s="213" customFormat="1" ht="15.75" customHeight="1">
      <c r="A1228" s="13"/>
      <c r="B1228" s="343" t="s">
        <v>848</v>
      </c>
      <c r="C1228" s="15"/>
      <c r="D1228" s="44">
        <v>8</v>
      </c>
      <c r="E1228" s="44">
        <v>1</v>
      </c>
      <c r="F1228" s="44"/>
      <c r="G1228" s="44"/>
      <c r="H1228" s="44"/>
      <c r="I1228" s="44"/>
      <c r="J1228" s="44"/>
      <c r="K1228" s="44"/>
      <c r="L1228" s="44"/>
      <c r="M1228" s="44">
        <v>5</v>
      </c>
      <c r="N1228" s="44"/>
      <c r="O1228" s="44">
        <v>7</v>
      </c>
      <c r="P1228" s="44"/>
      <c r="Q1228" s="214"/>
      <c r="R1228" s="214"/>
      <c r="S1228" s="214"/>
    </row>
    <row r="1229" spans="1:19" s="207" customFormat="1" ht="16.5" customHeight="1">
      <c r="A1229" s="50"/>
      <c r="B1229" s="346" t="s">
        <v>669</v>
      </c>
      <c r="C1229" s="347"/>
      <c r="D1229" s="348">
        <v>3</v>
      </c>
      <c r="E1229" s="348"/>
      <c r="F1229" s="60"/>
      <c r="G1229" s="60"/>
      <c r="H1229" s="60"/>
      <c r="I1229" s="60"/>
      <c r="J1229" s="60"/>
      <c r="K1229" s="60"/>
      <c r="L1229" s="60">
        <f>SUM(L1230:L1234)</f>
        <v>0</v>
      </c>
      <c r="M1229" s="348">
        <f>SUM(M1230:M1234)</f>
        <v>5</v>
      </c>
      <c r="N1229" s="348">
        <f>SUM(N1230:N1234)</f>
        <v>0</v>
      </c>
      <c r="O1229" s="348">
        <f>SUM(O1230:O1234)</f>
        <v>7</v>
      </c>
      <c r="P1229" s="348">
        <f>SUM(P1230:P1234)</f>
        <v>0</v>
      </c>
      <c r="Q1229" s="216"/>
      <c r="R1229" s="216"/>
      <c r="S1229" s="217"/>
    </row>
    <row r="1230" spans="1:19" s="213" customFormat="1" ht="15.75" customHeight="1">
      <c r="A1230" s="355"/>
      <c r="B1230" s="97" t="s">
        <v>1199</v>
      </c>
      <c r="C1230" s="350">
        <v>40040446</v>
      </c>
      <c r="D1230" s="341">
        <v>3</v>
      </c>
      <c r="E1230" s="341"/>
      <c r="F1230" s="73"/>
      <c r="G1230" s="40"/>
      <c r="H1230" s="40"/>
      <c r="I1230" s="40"/>
      <c r="J1230" s="40"/>
      <c r="K1230" s="40"/>
      <c r="L1230" s="351"/>
      <c r="M1230" s="341"/>
      <c r="N1230" s="341"/>
      <c r="O1230" s="341"/>
      <c r="P1230" s="341"/>
      <c r="Q1230" s="214"/>
      <c r="R1230" s="212"/>
      <c r="S1230" s="212"/>
    </row>
    <row r="1231" spans="1:19" s="213" customFormat="1" ht="15.75" customHeight="1">
      <c r="A1231" s="355"/>
      <c r="B1231" s="97" t="s">
        <v>564</v>
      </c>
      <c r="C1231" s="15" t="s">
        <v>565</v>
      </c>
      <c r="D1231" s="341"/>
      <c r="E1231" s="341"/>
      <c r="F1231" s="73"/>
      <c r="G1231" s="40"/>
      <c r="H1231" s="40"/>
      <c r="I1231" s="40"/>
      <c r="J1231" s="40"/>
      <c r="K1231" s="40"/>
      <c r="L1231" s="351"/>
      <c r="M1231" s="341">
        <v>1</v>
      </c>
      <c r="N1231" s="341"/>
      <c r="O1231" s="341"/>
      <c r="P1231" s="341"/>
      <c r="Q1231" s="214"/>
      <c r="R1231" s="212"/>
      <c r="S1231" s="212"/>
    </row>
    <row r="1232" spans="1:19" s="213" customFormat="1" ht="15.75" customHeight="1">
      <c r="A1232" s="355"/>
      <c r="B1232" s="97" t="s">
        <v>1200</v>
      </c>
      <c r="C1232" s="12">
        <v>20050425</v>
      </c>
      <c r="D1232" s="341"/>
      <c r="E1232" s="341"/>
      <c r="F1232" s="73"/>
      <c r="G1232" s="40"/>
      <c r="H1232" s="40"/>
      <c r="I1232" s="40"/>
      <c r="J1232" s="40"/>
      <c r="K1232" s="40"/>
      <c r="L1232" s="351"/>
      <c r="M1232" s="341">
        <v>4</v>
      </c>
      <c r="N1232" s="341"/>
      <c r="O1232" s="341"/>
      <c r="P1232" s="341"/>
      <c r="Q1232" s="214"/>
      <c r="R1232" s="212"/>
      <c r="S1232" s="212"/>
    </row>
    <row r="1233" spans="1:19" s="213" customFormat="1" ht="15.75" customHeight="1">
      <c r="A1233" s="355"/>
      <c r="B1233" s="97" t="s">
        <v>1047</v>
      </c>
      <c r="C1233" s="12">
        <v>40010327</v>
      </c>
      <c r="D1233" s="341"/>
      <c r="E1233" s="341"/>
      <c r="F1233" s="73"/>
      <c r="G1233" s="40"/>
      <c r="H1233" s="40"/>
      <c r="I1233" s="40"/>
      <c r="J1233" s="40"/>
      <c r="K1233" s="40"/>
      <c r="L1233" s="351"/>
      <c r="M1233" s="341"/>
      <c r="N1233" s="341"/>
      <c r="O1233" s="341">
        <v>5</v>
      </c>
      <c r="P1233" s="341"/>
      <c r="Q1233" s="214"/>
      <c r="R1233" s="212"/>
      <c r="S1233" s="212"/>
    </row>
    <row r="1234" spans="1:57" s="213" customFormat="1" ht="15.75">
      <c r="A1234" s="13"/>
      <c r="B1234" s="359" t="s">
        <v>670</v>
      </c>
      <c r="C1234" s="360"/>
      <c r="D1234" s="361"/>
      <c r="E1234" s="361"/>
      <c r="F1234" s="40"/>
      <c r="G1234" s="40"/>
      <c r="H1234" s="40"/>
      <c r="I1234" s="40"/>
      <c r="J1234" s="40"/>
      <c r="K1234" s="40"/>
      <c r="L1234" s="60">
        <f>SUM(L1236:L1236)</f>
        <v>0</v>
      </c>
      <c r="M1234" s="362">
        <f>SUM(M1236:M1236)</f>
        <v>0</v>
      </c>
      <c r="N1234" s="362">
        <f>SUM(N1236:N1236)</f>
        <v>0</v>
      </c>
      <c r="O1234" s="362">
        <v>2</v>
      </c>
      <c r="P1234" s="362">
        <f>SUM(P1236:P1236)</f>
        <v>0</v>
      </c>
      <c r="Q1234" s="214"/>
      <c r="R1234" s="212"/>
      <c r="S1234" s="212"/>
      <c r="BA1234" s="214"/>
      <c r="BB1234" s="212"/>
      <c r="BC1234" s="212"/>
      <c r="BD1234" s="212"/>
      <c r="BE1234" s="212"/>
    </row>
    <row r="1235" spans="1:19" s="213" customFormat="1" ht="15.75">
      <c r="A1235" s="355"/>
      <c r="B1235" s="97" t="s">
        <v>742</v>
      </c>
      <c r="C1235" s="12">
        <v>11040151</v>
      </c>
      <c r="D1235" s="341"/>
      <c r="E1235" s="341"/>
      <c r="F1235" s="73"/>
      <c r="G1235" s="40"/>
      <c r="H1235" s="40"/>
      <c r="I1235" s="40"/>
      <c r="J1235" s="40"/>
      <c r="K1235" s="40"/>
      <c r="L1235" s="354"/>
      <c r="M1235" s="341"/>
      <c r="N1235" s="341"/>
      <c r="O1235" s="341">
        <v>1</v>
      </c>
      <c r="P1235" s="341"/>
      <c r="Q1235" s="214"/>
      <c r="R1235" s="212"/>
      <c r="S1235" s="212"/>
    </row>
    <row r="1236" spans="1:19" s="213" customFormat="1" ht="15.75" customHeight="1">
      <c r="A1236" s="355"/>
      <c r="B1236" s="97" t="s">
        <v>1355</v>
      </c>
      <c r="C1236" s="12">
        <v>11020151</v>
      </c>
      <c r="D1236" s="341"/>
      <c r="E1236" s="341"/>
      <c r="F1236" s="73"/>
      <c r="G1236" s="40"/>
      <c r="H1236" s="40"/>
      <c r="I1236" s="40"/>
      <c r="J1236" s="40"/>
      <c r="K1236" s="40"/>
      <c r="L1236" s="351"/>
      <c r="M1236" s="341"/>
      <c r="N1236" s="341"/>
      <c r="O1236" s="341">
        <v>1</v>
      </c>
      <c r="P1236" s="341"/>
      <c r="Q1236" s="214"/>
      <c r="R1236" s="212"/>
      <c r="S1236" s="212"/>
    </row>
    <row r="1237" spans="1:19" s="207" customFormat="1" ht="18" customHeight="1">
      <c r="A1237" s="50"/>
      <c r="B1237" s="359" t="s">
        <v>37</v>
      </c>
      <c r="C1237" s="363"/>
      <c r="D1237" s="362">
        <v>5</v>
      </c>
      <c r="E1237" s="362">
        <v>1</v>
      </c>
      <c r="F1237" s="60">
        <f aca="true" t="shared" si="54" ref="F1237:K1237">F1238</f>
        <v>0</v>
      </c>
      <c r="G1237" s="60">
        <f t="shared" si="54"/>
        <v>0</v>
      </c>
      <c r="H1237" s="60">
        <f t="shared" si="54"/>
        <v>0</v>
      </c>
      <c r="I1237" s="60">
        <f t="shared" si="54"/>
        <v>0</v>
      </c>
      <c r="J1237" s="60">
        <f t="shared" si="54"/>
        <v>0</v>
      </c>
      <c r="K1237" s="60">
        <f t="shared" si="54"/>
        <v>0</v>
      </c>
      <c r="L1237" s="60"/>
      <c r="M1237" s="362"/>
      <c r="N1237" s="362"/>
      <c r="O1237" s="362"/>
      <c r="P1237" s="362"/>
      <c r="Q1237" s="254">
        <f>SUM(Q1238:Q1298)</f>
        <v>0</v>
      </c>
      <c r="R1237" s="206">
        <f>SUM(R1238:R1298)</f>
        <v>12</v>
      </c>
      <c r="S1237" s="206">
        <f>SUM(S1238:S1298)</f>
        <v>0</v>
      </c>
    </row>
    <row r="1238" spans="1:19" s="213" customFormat="1" ht="15.75" customHeight="1">
      <c r="A1238" s="355"/>
      <c r="B1238" s="97" t="s">
        <v>109</v>
      </c>
      <c r="C1238" s="352" t="s">
        <v>110</v>
      </c>
      <c r="D1238" s="341">
        <v>1</v>
      </c>
      <c r="E1238" s="341"/>
      <c r="F1238" s="73"/>
      <c r="G1238" s="40"/>
      <c r="H1238" s="40"/>
      <c r="I1238" s="40"/>
      <c r="J1238" s="40"/>
      <c r="K1238" s="40"/>
      <c r="L1238" s="351"/>
      <c r="M1238" s="341"/>
      <c r="N1238" s="341"/>
      <c r="O1238" s="341"/>
      <c r="P1238" s="341"/>
      <c r="Q1238" s="214"/>
      <c r="R1238" s="212"/>
      <c r="S1238" s="212"/>
    </row>
    <row r="1239" spans="1:19" s="213" customFormat="1" ht="15.75" customHeight="1">
      <c r="A1239" s="355"/>
      <c r="B1239" s="97" t="s">
        <v>398</v>
      </c>
      <c r="C1239" s="364" t="s">
        <v>457</v>
      </c>
      <c r="D1239" s="341">
        <v>1</v>
      </c>
      <c r="E1239" s="341"/>
      <c r="F1239" s="73"/>
      <c r="G1239" s="40"/>
      <c r="H1239" s="40"/>
      <c r="I1239" s="40"/>
      <c r="J1239" s="40"/>
      <c r="K1239" s="40"/>
      <c r="L1239" s="351"/>
      <c r="M1239" s="341"/>
      <c r="N1239" s="341"/>
      <c r="O1239" s="341"/>
      <c r="P1239" s="341"/>
      <c r="Q1239" s="214"/>
      <c r="R1239" s="212"/>
      <c r="S1239" s="212"/>
    </row>
    <row r="1240" spans="1:19" s="213" customFormat="1" ht="15.75" customHeight="1">
      <c r="A1240" s="355"/>
      <c r="B1240" s="97" t="s">
        <v>1113</v>
      </c>
      <c r="C1240" s="350">
        <v>27010265</v>
      </c>
      <c r="D1240" s="341">
        <v>2</v>
      </c>
      <c r="E1240" s="341"/>
      <c r="F1240" s="73"/>
      <c r="G1240" s="40"/>
      <c r="H1240" s="40"/>
      <c r="I1240" s="40"/>
      <c r="J1240" s="40"/>
      <c r="K1240" s="40"/>
      <c r="L1240" s="351"/>
      <c r="M1240" s="341"/>
      <c r="N1240" s="341"/>
      <c r="O1240" s="341"/>
      <c r="P1240" s="341"/>
      <c r="Q1240" s="214"/>
      <c r="R1240" s="212"/>
      <c r="S1240" s="212"/>
    </row>
    <row r="1241" spans="1:19" s="302" customFormat="1" ht="15.75" customHeight="1">
      <c r="A1241" s="365"/>
      <c r="B1241" s="97" t="s">
        <v>1113</v>
      </c>
      <c r="C1241" s="350">
        <v>27010665</v>
      </c>
      <c r="D1241" s="341">
        <v>1</v>
      </c>
      <c r="E1241" s="341">
        <v>1</v>
      </c>
      <c r="F1241" s="73"/>
      <c r="G1241" s="40"/>
      <c r="H1241" s="40"/>
      <c r="I1241" s="40"/>
      <c r="J1241" s="40"/>
      <c r="K1241" s="40"/>
      <c r="L1241" s="351"/>
      <c r="M1241" s="341"/>
      <c r="N1241" s="341"/>
      <c r="O1241" s="341"/>
      <c r="P1241" s="341"/>
      <c r="Q1241" s="300"/>
      <c r="R1241" s="301"/>
      <c r="S1241" s="301"/>
    </row>
    <row r="1242" spans="1:19" s="213" customFormat="1" ht="15.75" customHeight="1">
      <c r="A1242" s="355"/>
      <c r="B1242" s="343" t="s">
        <v>850</v>
      </c>
      <c r="C1242" s="344"/>
      <c r="D1242" s="357">
        <v>13</v>
      </c>
      <c r="E1242" s="357">
        <v>2</v>
      </c>
      <c r="F1242" s="123"/>
      <c r="G1242" s="44"/>
      <c r="H1242" s="44"/>
      <c r="I1242" s="44"/>
      <c r="J1242" s="44"/>
      <c r="K1242" s="44"/>
      <c r="L1242" s="358"/>
      <c r="M1242" s="357">
        <v>12</v>
      </c>
      <c r="N1242" s="357"/>
      <c r="O1242" s="357"/>
      <c r="P1242" s="357"/>
      <c r="Q1242" s="214"/>
      <c r="R1242" s="212"/>
      <c r="S1242" s="212"/>
    </row>
    <row r="1243" spans="1:19" s="207" customFormat="1" ht="16.5" customHeight="1">
      <c r="A1243" s="50"/>
      <c r="B1243" s="346" t="s">
        <v>669</v>
      </c>
      <c r="C1243" s="347"/>
      <c r="D1243" s="348">
        <v>5</v>
      </c>
      <c r="E1243" s="348"/>
      <c r="F1243" s="60"/>
      <c r="G1243" s="60"/>
      <c r="H1243" s="60"/>
      <c r="I1243" s="60"/>
      <c r="J1243" s="60"/>
      <c r="K1243" s="60"/>
      <c r="L1243" s="60">
        <f>SUM(L1244:L1247)</f>
        <v>0</v>
      </c>
      <c r="M1243" s="348">
        <v>5</v>
      </c>
      <c r="N1243" s="348">
        <f>SUM(N1244:N1247)</f>
        <v>0</v>
      </c>
      <c r="O1243" s="348">
        <f>SUM(O1244:O1247)</f>
        <v>0</v>
      </c>
      <c r="P1243" s="348">
        <f>SUM(P1244:P1247)</f>
        <v>0</v>
      </c>
      <c r="Q1243" s="216"/>
      <c r="R1243" s="216"/>
      <c r="S1243" s="217"/>
    </row>
    <row r="1244" spans="1:19" s="213" customFormat="1" ht="15.75" customHeight="1">
      <c r="A1244" s="355"/>
      <c r="B1244" s="97" t="s">
        <v>1204</v>
      </c>
      <c r="C1244" s="352" t="s">
        <v>1315</v>
      </c>
      <c r="D1244" s="341">
        <v>4</v>
      </c>
      <c r="E1244" s="341" t="s">
        <v>998</v>
      </c>
      <c r="F1244" s="73"/>
      <c r="G1244" s="40"/>
      <c r="H1244" s="40"/>
      <c r="I1244" s="40"/>
      <c r="J1244" s="40"/>
      <c r="K1244" s="40"/>
      <c r="L1244" s="351"/>
      <c r="M1244" s="341">
        <v>4</v>
      </c>
      <c r="N1244" s="341" t="s">
        <v>998</v>
      </c>
      <c r="O1244" s="341" t="s">
        <v>998</v>
      </c>
      <c r="P1244" s="341" t="s">
        <v>998</v>
      </c>
      <c r="Q1244" s="214"/>
      <c r="R1244" s="212"/>
      <c r="S1244" s="212"/>
    </row>
    <row r="1245" spans="1:19" s="213" customFormat="1" ht="15.75" customHeight="1">
      <c r="A1245" s="355"/>
      <c r="B1245" s="97" t="s">
        <v>1205</v>
      </c>
      <c r="C1245" s="352" t="s">
        <v>1315</v>
      </c>
      <c r="D1245" s="341">
        <v>1</v>
      </c>
      <c r="E1245" s="341" t="s">
        <v>998</v>
      </c>
      <c r="F1245" s="73"/>
      <c r="G1245" s="40"/>
      <c r="H1245" s="40"/>
      <c r="I1245" s="40"/>
      <c r="J1245" s="40"/>
      <c r="K1245" s="40"/>
      <c r="L1245" s="351"/>
      <c r="M1245" s="341">
        <v>1</v>
      </c>
      <c r="N1245" s="341" t="s">
        <v>998</v>
      </c>
      <c r="O1245" s="341" t="s">
        <v>998</v>
      </c>
      <c r="P1245" s="341" t="s">
        <v>998</v>
      </c>
      <c r="Q1245" s="214"/>
      <c r="R1245" s="212"/>
      <c r="S1245" s="212"/>
    </row>
    <row r="1246" spans="1:19" s="207" customFormat="1" ht="18" customHeight="1">
      <c r="A1246" s="50"/>
      <c r="B1246" s="359" t="s">
        <v>37</v>
      </c>
      <c r="C1246" s="347"/>
      <c r="D1246" s="348">
        <v>2</v>
      </c>
      <c r="E1246" s="348"/>
      <c r="F1246" s="60"/>
      <c r="G1246" s="60"/>
      <c r="H1246" s="60"/>
      <c r="I1246" s="60"/>
      <c r="J1246" s="60"/>
      <c r="K1246" s="60"/>
      <c r="L1246" s="60"/>
      <c r="M1246" s="348">
        <v>7</v>
      </c>
      <c r="N1246" s="348"/>
      <c r="O1246" s="348"/>
      <c r="P1246" s="348"/>
      <c r="Q1246" s="254">
        <f>SUM(Q1247:Q1307)</f>
        <v>0</v>
      </c>
      <c r="R1246" s="206">
        <f>SUM(R1247:R1307)</f>
        <v>6</v>
      </c>
      <c r="S1246" s="206">
        <f>SUM(S1247:S1307)</f>
        <v>0</v>
      </c>
    </row>
    <row r="1247" spans="1:19" s="213" customFormat="1" ht="15.75" customHeight="1">
      <c r="A1247" s="355"/>
      <c r="B1247" s="97" t="s">
        <v>1206</v>
      </c>
      <c r="C1247" s="352" t="s">
        <v>1201</v>
      </c>
      <c r="D1247" s="341" t="s">
        <v>998</v>
      </c>
      <c r="E1247" s="341" t="s">
        <v>998</v>
      </c>
      <c r="F1247" s="73"/>
      <c r="G1247" s="40"/>
      <c r="H1247" s="40"/>
      <c r="I1247" s="40"/>
      <c r="J1247" s="40"/>
      <c r="K1247" s="40"/>
      <c r="L1247" s="351"/>
      <c r="M1247" s="341">
        <v>2</v>
      </c>
      <c r="N1247" s="341" t="s">
        <v>998</v>
      </c>
      <c r="O1247" s="341" t="s">
        <v>998</v>
      </c>
      <c r="P1247" s="341" t="s">
        <v>998</v>
      </c>
      <c r="Q1247" s="214"/>
      <c r="R1247" s="212"/>
      <c r="S1247" s="212"/>
    </row>
    <row r="1248" spans="1:19" s="213" customFormat="1" ht="15.75" customHeight="1">
      <c r="A1248" s="355"/>
      <c r="B1248" s="97" t="s">
        <v>1207</v>
      </c>
      <c r="C1248" s="352" t="s">
        <v>1202</v>
      </c>
      <c r="D1248" s="341">
        <v>1</v>
      </c>
      <c r="E1248" s="341" t="s">
        <v>998</v>
      </c>
      <c r="F1248" s="73"/>
      <c r="G1248" s="40"/>
      <c r="H1248" s="40"/>
      <c r="I1248" s="40"/>
      <c r="J1248" s="40"/>
      <c r="K1248" s="40"/>
      <c r="L1248" s="351"/>
      <c r="M1248" s="341">
        <v>3</v>
      </c>
      <c r="N1248" s="341" t="s">
        <v>998</v>
      </c>
      <c r="O1248" s="341" t="s">
        <v>998</v>
      </c>
      <c r="P1248" s="341" t="s">
        <v>998</v>
      </c>
      <c r="Q1248" s="214"/>
      <c r="R1248" s="212"/>
      <c r="S1248" s="212"/>
    </row>
    <row r="1249" spans="1:19" s="213" customFormat="1" ht="15.75" customHeight="1">
      <c r="A1249" s="355"/>
      <c r="B1249" s="97" t="s">
        <v>1208</v>
      </c>
      <c r="C1249" s="352" t="s">
        <v>1203</v>
      </c>
      <c r="D1249" s="341">
        <v>1</v>
      </c>
      <c r="E1249" s="341" t="s">
        <v>998</v>
      </c>
      <c r="F1249" s="73"/>
      <c r="G1249" s="40"/>
      <c r="H1249" s="40"/>
      <c r="I1249" s="40"/>
      <c r="J1249" s="40"/>
      <c r="K1249" s="40"/>
      <c r="L1249" s="351"/>
      <c r="M1249" s="341">
        <v>2</v>
      </c>
      <c r="N1249" s="341" t="s">
        <v>998</v>
      </c>
      <c r="O1249" s="341" t="s">
        <v>998</v>
      </c>
      <c r="P1249" s="341" t="s">
        <v>998</v>
      </c>
      <c r="Q1249" s="214"/>
      <c r="R1249" s="212"/>
      <c r="S1249" s="212"/>
    </row>
    <row r="1250" spans="1:19" s="213" customFormat="1" ht="15.75" customHeight="1">
      <c r="A1250" s="355"/>
      <c r="B1250" s="343" t="s">
        <v>851</v>
      </c>
      <c r="C1250" s="344"/>
      <c r="D1250" s="345">
        <f>D1251+D1264+D1282</f>
        <v>109</v>
      </c>
      <c r="E1250" s="345"/>
      <c r="F1250" s="345"/>
      <c r="G1250" s="345"/>
      <c r="H1250" s="345"/>
      <c r="I1250" s="345"/>
      <c r="J1250" s="345"/>
      <c r="K1250" s="345"/>
      <c r="L1250" s="345"/>
      <c r="M1250" s="345">
        <f>M1251+M1264+M1282</f>
        <v>66</v>
      </c>
      <c r="N1250" s="345">
        <f>N1251+N1264+N1282</f>
        <v>25</v>
      </c>
      <c r="O1250" s="345">
        <f>O1251+O1264+O1282</f>
        <v>50</v>
      </c>
      <c r="P1250" s="345">
        <f>P1251+P1264+P1282</f>
        <v>40</v>
      </c>
      <c r="Q1250" s="214"/>
      <c r="R1250" s="212"/>
      <c r="S1250" s="212"/>
    </row>
    <row r="1251" spans="1:19" s="207" customFormat="1" ht="16.5" customHeight="1">
      <c r="A1251" s="50"/>
      <c r="B1251" s="346" t="s">
        <v>669</v>
      </c>
      <c r="C1251" s="347"/>
      <c r="D1251" s="348">
        <f>D1252+D1253+D1254+D1255+D1256+D1257+D1258+D1259+D1260+D1261+D1262+D1263</f>
        <v>87</v>
      </c>
      <c r="E1251" s="348"/>
      <c r="F1251" s="348"/>
      <c r="G1251" s="348"/>
      <c r="H1251" s="348"/>
      <c r="I1251" s="348"/>
      <c r="J1251" s="348"/>
      <c r="K1251" s="348"/>
      <c r="L1251" s="348"/>
      <c r="M1251" s="348">
        <f>M1252+M1253+M1254+M1255+M1256+M1257+M1258+M1259+M1260+M1261+M1262+M1263</f>
        <v>64</v>
      </c>
      <c r="N1251" s="348">
        <f>N1252+N1253+N1254+N1255+N1256+N1257+N1258+N1259+N1260+N1261+N1262+N1263</f>
        <v>18</v>
      </c>
      <c r="O1251" s="348">
        <f>O1252+O1253+O1254+O1255+O1256+O1257+O1258+O1259+O1260+O1261+O1262+O1263</f>
        <v>48</v>
      </c>
      <c r="P1251" s="348">
        <f>P1252+P1253+P1254+P1255+P1256+P1257+P1258+P1259+P1260+P1261+P1262+P1263</f>
        <v>38</v>
      </c>
      <c r="Q1251" s="216"/>
      <c r="R1251" s="216"/>
      <c r="S1251" s="217"/>
    </row>
    <row r="1252" spans="1:19" s="213" customFormat="1" ht="15.75" customHeight="1">
      <c r="A1252" s="355"/>
      <c r="B1252" s="349" t="s">
        <v>1211</v>
      </c>
      <c r="C1252" s="350">
        <v>10013</v>
      </c>
      <c r="D1252" s="341">
        <v>27</v>
      </c>
      <c r="E1252" s="341"/>
      <c r="F1252" s="73"/>
      <c r="G1252" s="40"/>
      <c r="H1252" s="40"/>
      <c r="I1252" s="40"/>
      <c r="J1252" s="40"/>
      <c r="K1252" s="40"/>
      <c r="L1252" s="351"/>
      <c r="M1252" s="341">
        <v>13</v>
      </c>
      <c r="N1252" s="341">
        <v>6</v>
      </c>
      <c r="O1252" s="341">
        <v>19</v>
      </c>
      <c r="P1252" s="341">
        <v>16</v>
      </c>
      <c r="Q1252" s="214"/>
      <c r="R1252" s="212"/>
      <c r="S1252" s="212"/>
    </row>
    <row r="1253" spans="1:19" s="213" customFormat="1" ht="15.75" customHeight="1">
      <c r="A1253" s="355"/>
      <c r="B1253" s="349" t="s">
        <v>1212</v>
      </c>
      <c r="C1253" s="350">
        <v>18116</v>
      </c>
      <c r="D1253" s="341">
        <v>34</v>
      </c>
      <c r="E1253" s="341"/>
      <c r="F1253" s="73"/>
      <c r="G1253" s="40"/>
      <c r="H1253" s="40"/>
      <c r="I1253" s="40"/>
      <c r="J1253" s="40"/>
      <c r="K1253" s="40"/>
      <c r="L1253" s="351"/>
      <c r="M1253" s="341">
        <v>39</v>
      </c>
      <c r="N1253" s="341">
        <v>7</v>
      </c>
      <c r="O1253" s="341">
        <v>27</v>
      </c>
      <c r="P1253" s="341">
        <v>13</v>
      </c>
      <c r="Q1253" s="214"/>
      <c r="R1253" s="212"/>
      <c r="S1253" s="212"/>
    </row>
    <row r="1254" spans="1:19" s="213" customFormat="1" ht="15.75" customHeight="1">
      <c r="A1254" s="355"/>
      <c r="B1254" s="349" t="s">
        <v>1213</v>
      </c>
      <c r="C1254" s="350">
        <v>16771</v>
      </c>
      <c r="D1254" s="341">
        <v>1</v>
      </c>
      <c r="E1254" s="341"/>
      <c r="F1254" s="73"/>
      <c r="G1254" s="40"/>
      <c r="H1254" s="40"/>
      <c r="I1254" s="40"/>
      <c r="J1254" s="40"/>
      <c r="K1254" s="40"/>
      <c r="L1254" s="351"/>
      <c r="M1254" s="341">
        <v>2</v>
      </c>
      <c r="N1254" s="341"/>
      <c r="O1254" s="341"/>
      <c r="P1254" s="341"/>
      <c r="Q1254" s="214"/>
      <c r="R1254" s="212"/>
      <c r="S1254" s="212"/>
    </row>
    <row r="1255" spans="1:19" s="213" customFormat="1" ht="15.75" customHeight="1">
      <c r="A1255" s="355"/>
      <c r="B1255" s="349" t="s">
        <v>1209</v>
      </c>
      <c r="C1255" s="352" t="s">
        <v>1312</v>
      </c>
      <c r="D1255" s="341">
        <v>2</v>
      </c>
      <c r="E1255" s="341"/>
      <c r="F1255" s="73"/>
      <c r="G1255" s="40"/>
      <c r="H1255" s="40"/>
      <c r="I1255" s="40"/>
      <c r="J1255" s="40"/>
      <c r="K1255" s="40"/>
      <c r="L1255" s="351"/>
      <c r="M1255" s="341">
        <v>3</v>
      </c>
      <c r="N1255" s="341"/>
      <c r="O1255" s="341"/>
      <c r="P1255" s="341"/>
      <c r="Q1255" s="214"/>
      <c r="R1255" s="212"/>
      <c r="S1255" s="212"/>
    </row>
    <row r="1256" spans="1:19" s="213" customFormat="1" ht="15.75" customHeight="1">
      <c r="A1256" s="355"/>
      <c r="B1256" s="349" t="s">
        <v>1214</v>
      </c>
      <c r="C1256" s="350">
        <v>14393</v>
      </c>
      <c r="D1256" s="341">
        <v>6</v>
      </c>
      <c r="E1256" s="341"/>
      <c r="F1256" s="73"/>
      <c r="G1256" s="40"/>
      <c r="H1256" s="40"/>
      <c r="I1256" s="40"/>
      <c r="J1256" s="40"/>
      <c r="K1256" s="40"/>
      <c r="L1256" s="351"/>
      <c r="M1256" s="341"/>
      <c r="N1256" s="341">
        <v>2</v>
      </c>
      <c r="O1256" s="341"/>
      <c r="P1256" s="341">
        <v>2</v>
      </c>
      <c r="Q1256" s="214"/>
      <c r="R1256" s="212"/>
      <c r="S1256" s="212"/>
    </row>
    <row r="1257" spans="1:19" s="213" customFormat="1" ht="15.75" customHeight="1">
      <c r="A1257" s="355"/>
      <c r="B1257" s="349" t="s">
        <v>1215</v>
      </c>
      <c r="C1257" s="350">
        <v>19293</v>
      </c>
      <c r="D1257" s="341">
        <v>3</v>
      </c>
      <c r="E1257" s="341"/>
      <c r="F1257" s="73"/>
      <c r="G1257" s="40"/>
      <c r="H1257" s="40"/>
      <c r="I1257" s="40"/>
      <c r="J1257" s="40"/>
      <c r="K1257" s="40"/>
      <c r="L1257" s="351"/>
      <c r="M1257" s="341">
        <v>3</v>
      </c>
      <c r="N1257" s="341"/>
      <c r="O1257" s="341">
        <v>1</v>
      </c>
      <c r="P1257" s="341">
        <v>2</v>
      </c>
      <c r="Q1257" s="214"/>
      <c r="R1257" s="212"/>
      <c r="S1257" s="212"/>
    </row>
    <row r="1258" spans="1:19" s="213" customFormat="1" ht="15.75" customHeight="1">
      <c r="A1258" s="355"/>
      <c r="B1258" s="349" t="s">
        <v>1216</v>
      </c>
      <c r="C1258" s="350">
        <v>16043</v>
      </c>
      <c r="D1258" s="341">
        <v>5</v>
      </c>
      <c r="E1258" s="341"/>
      <c r="F1258" s="73"/>
      <c r="G1258" s="40"/>
      <c r="H1258" s="40"/>
      <c r="I1258" s="40"/>
      <c r="J1258" s="40"/>
      <c r="K1258" s="40"/>
      <c r="L1258" s="351"/>
      <c r="M1258" s="341">
        <v>1</v>
      </c>
      <c r="N1258" s="341"/>
      <c r="O1258" s="341"/>
      <c r="P1258" s="341">
        <v>2</v>
      </c>
      <c r="Q1258" s="214"/>
      <c r="R1258" s="212"/>
      <c r="S1258" s="212"/>
    </row>
    <row r="1259" spans="1:19" s="213" customFormat="1" ht="15.75" customHeight="1">
      <c r="A1259" s="355"/>
      <c r="B1259" s="349" t="s">
        <v>1210</v>
      </c>
      <c r="C1259" s="352" t="s">
        <v>565</v>
      </c>
      <c r="D1259" s="341">
        <v>2</v>
      </c>
      <c r="E1259" s="341"/>
      <c r="F1259" s="73"/>
      <c r="G1259" s="40"/>
      <c r="H1259" s="40"/>
      <c r="I1259" s="40"/>
      <c r="J1259" s="40"/>
      <c r="K1259" s="40"/>
      <c r="L1259" s="351"/>
      <c r="M1259" s="341"/>
      <c r="N1259" s="341">
        <v>1</v>
      </c>
      <c r="O1259" s="341"/>
      <c r="P1259" s="341"/>
      <c r="Q1259" s="214"/>
      <c r="R1259" s="212"/>
      <c r="S1259" s="212"/>
    </row>
    <row r="1260" spans="1:19" s="213" customFormat="1" ht="15.75" customHeight="1">
      <c r="A1260" s="355"/>
      <c r="B1260" s="349" t="s">
        <v>1217</v>
      </c>
      <c r="C1260" s="350">
        <v>44745</v>
      </c>
      <c r="D1260" s="341">
        <v>4</v>
      </c>
      <c r="E1260" s="341"/>
      <c r="F1260" s="73"/>
      <c r="G1260" s="40"/>
      <c r="H1260" s="40"/>
      <c r="I1260" s="40"/>
      <c r="J1260" s="40"/>
      <c r="K1260" s="40"/>
      <c r="L1260" s="351"/>
      <c r="M1260" s="341">
        <v>1</v>
      </c>
      <c r="N1260" s="341">
        <v>1</v>
      </c>
      <c r="O1260" s="341"/>
      <c r="P1260" s="341">
        <v>2</v>
      </c>
      <c r="Q1260" s="214"/>
      <c r="R1260" s="212"/>
      <c r="S1260" s="212"/>
    </row>
    <row r="1261" spans="1:19" s="213" customFormat="1" ht="15.75" customHeight="1">
      <c r="A1261" s="355"/>
      <c r="B1261" s="349" t="s">
        <v>1218</v>
      </c>
      <c r="C1261" s="350">
        <v>15643</v>
      </c>
      <c r="D1261" s="341">
        <v>1</v>
      </c>
      <c r="E1261" s="341"/>
      <c r="F1261" s="73"/>
      <c r="G1261" s="40"/>
      <c r="H1261" s="40"/>
      <c r="I1261" s="40"/>
      <c r="J1261" s="40"/>
      <c r="K1261" s="40"/>
      <c r="L1261" s="351"/>
      <c r="M1261" s="341">
        <v>1</v>
      </c>
      <c r="N1261" s="341">
        <v>1</v>
      </c>
      <c r="O1261" s="341"/>
      <c r="P1261" s="341"/>
      <c r="Q1261" s="214"/>
      <c r="R1261" s="212"/>
      <c r="S1261" s="212"/>
    </row>
    <row r="1262" spans="1:19" s="213" customFormat="1" ht="15.75" customHeight="1">
      <c r="A1262" s="355"/>
      <c r="B1262" s="349" t="s">
        <v>1219</v>
      </c>
      <c r="C1262" s="350">
        <v>17544</v>
      </c>
      <c r="D1262" s="341">
        <v>1</v>
      </c>
      <c r="E1262" s="341"/>
      <c r="F1262" s="73"/>
      <c r="G1262" s="40"/>
      <c r="H1262" s="40"/>
      <c r="I1262" s="40"/>
      <c r="J1262" s="40"/>
      <c r="K1262" s="40"/>
      <c r="L1262" s="351"/>
      <c r="M1262" s="341"/>
      <c r="N1262" s="341"/>
      <c r="O1262" s="341">
        <v>1</v>
      </c>
      <c r="P1262" s="341"/>
      <c r="Q1262" s="214"/>
      <c r="R1262" s="212"/>
      <c r="S1262" s="212"/>
    </row>
    <row r="1263" spans="1:19" s="213" customFormat="1" ht="15.75" customHeight="1">
      <c r="A1263" s="355"/>
      <c r="B1263" s="349" t="s">
        <v>1116</v>
      </c>
      <c r="C1263" s="350">
        <v>24110</v>
      </c>
      <c r="D1263" s="341">
        <v>1</v>
      </c>
      <c r="E1263" s="341"/>
      <c r="F1263" s="73"/>
      <c r="G1263" s="40"/>
      <c r="H1263" s="40"/>
      <c r="I1263" s="40"/>
      <c r="J1263" s="40"/>
      <c r="K1263" s="40"/>
      <c r="L1263" s="351"/>
      <c r="M1263" s="341">
        <v>1</v>
      </c>
      <c r="N1263" s="341"/>
      <c r="O1263" s="341"/>
      <c r="P1263" s="341">
        <v>1</v>
      </c>
      <c r="Q1263" s="214"/>
      <c r="R1263" s="212"/>
      <c r="S1263" s="212"/>
    </row>
    <row r="1264" spans="1:57" s="213" customFormat="1" ht="16.5" customHeight="1">
      <c r="A1264" s="13"/>
      <c r="B1264" s="346" t="s">
        <v>670</v>
      </c>
      <c r="C1264" s="353"/>
      <c r="D1264" s="348">
        <f>D1265+D1266+D1267+D1268+D1269+D1270+D1271+D1272+D1273+D1274+D1275+D1276+D1277+D1278+D1279+D1280+D1281</f>
        <v>19</v>
      </c>
      <c r="E1264" s="348"/>
      <c r="F1264" s="348"/>
      <c r="G1264" s="348"/>
      <c r="H1264" s="348"/>
      <c r="I1264" s="348"/>
      <c r="J1264" s="348"/>
      <c r="K1264" s="348"/>
      <c r="L1264" s="348"/>
      <c r="M1264" s="348">
        <f>M1265+M1266+M1267+M1268+M1269+M1270+M1271+M1272+M1273+M1274+M1275+M1276+M1277+M1278+M1279+M1280+M1281</f>
        <v>2</v>
      </c>
      <c r="N1264" s="348">
        <f>N1265+N1266+N1267+N1268+N1269+N1270+N1271+N1272+N1273+N1274+N1275+N1276+N1277+N1278+N1279+N1280+N1281</f>
        <v>7</v>
      </c>
      <c r="O1264" s="348">
        <f>O1265+O1266+O1267+O1268+O1269+O1270+O1271+O1272+O1273+O1274+O1275+O1276+O1277+O1278+O1279+O1280+O1281</f>
        <v>2</v>
      </c>
      <c r="P1264" s="348">
        <f>P1265+P1266+P1267+P1268+P1269+P1270+P1271+P1272+P1273+P1274+P1275+P1276+P1277+P1278+P1279+P1280+P1281</f>
        <v>2</v>
      </c>
      <c r="Q1264" s="214"/>
      <c r="R1264" s="212"/>
      <c r="S1264" s="212"/>
      <c r="BA1264" s="214"/>
      <c r="BB1264" s="212"/>
      <c r="BC1264" s="212"/>
      <c r="BD1264" s="212"/>
      <c r="BE1264" s="212"/>
    </row>
    <row r="1265" spans="1:19" s="213" customFormat="1" ht="15.75">
      <c r="A1265" s="355"/>
      <c r="B1265" s="349" t="s">
        <v>561</v>
      </c>
      <c r="C1265" s="352" t="s">
        <v>804</v>
      </c>
      <c r="D1265" s="341">
        <v>2</v>
      </c>
      <c r="E1265" s="341"/>
      <c r="F1265" s="73"/>
      <c r="G1265" s="40"/>
      <c r="H1265" s="40"/>
      <c r="I1265" s="40"/>
      <c r="J1265" s="40"/>
      <c r="K1265" s="40"/>
      <c r="L1265" s="354"/>
      <c r="M1265" s="341"/>
      <c r="N1265" s="341">
        <v>1</v>
      </c>
      <c r="O1265" s="341"/>
      <c r="P1265" s="341"/>
      <c r="Q1265" s="214"/>
      <c r="R1265" s="212"/>
      <c r="S1265" s="212"/>
    </row>
    <row r="1266" spans="1:19" s="213" customFormat="1" ht="15.75">
      <c r="A1266" s="355"/>
      <c r="B1266" s="349" t="s">
        <v>221</v>
      </c>
      <c r="C1266" s="352" t="s">
        <v>612</v>
      </c>
      <c r="D1266" s="341">
        <v>1</v>
      </c>
      <c r="E1266" s="341"/>
      <c r="F1266" s="73"/>
      <c r="G1266" s="40"/>
      <c r="H1266" s="40"/>
      <c r="I1266" s="40"/>
      <c r="J1266" s="40"/>
      <c r="K1266" s="40"/>
      <c r="L1266" s="354"/>
      <c r="M1266" s="341"/>
      <c r="N1266" s="341">
        <v>1</v>
      </c>
      <c r="O1266" s="341"/>
      <c r="P1266" s="341"/>
      <c r="Q1266" s="214"/>
      <c r="R1266" s="212"/>
      <c r="S1266" s="212"/>
    </row>
    <row r="1267" spans="1:19" s="213" customFormat="1" ht="15.75">
      <c r="A1267" s="355"/>
      <c r="B1267" s="349" t="s">
        <v>1220</v>
      </c>
      <c r="C1267" s="352" t="s">
        <v>1046</v>
      </c>
      <c r="D1267" s="341">
        <v>1</v>
      </c>
      <c r="E1267" s="341"/>
      <c r="F1267" s="73"/>
      <c r="G1267" s="40"/>
      <c r="H1267" s="40"/>
      <c r="I1267" s="40"/>
      <c r="J1267" s="40"/>
      <c r="K1267" s="40"/>
      <c r="L1267" s="354"/>
      <c r="M1267" s="341"/>
      <c r="N1267" s="341"/>
      <c r="O1267" s="341"/>
      <c r="P1267" s="341"/>
      <c r="Q1267" s="214"/>
      <c r="R1267" s="212"/>
      <c r="S1267" s="212"/>
    </row>
    <row r="1268" spans="1:19" s="213" customFormat="1" ht="15.75">
      <c r="A1268" s="355"/>
      <c r="B1268" s="349" t="s">
        <v>1221</v>
      </c>
      <c r="C1268" s="352" t="s">
        <v>1232</v>
      </c>
      <c r="D1268" s="341">
        <v>1</v>
      </c>
      <c r="E1268" s="341"/>
      <c r="F1268" s="73"/>
      <c r="G1268" s="40"/>
      <c r="H1268" s="40"/>
      <c r="I1268" s="40"/>
      <c r="J1268" s="40"/>
      <c r="K1268" s="40"/>
      <c r="L1268" s="354"/>
      <c r="M1268" s="341"/>
      <c r="N1268" s="341"/>
      <c r="O1268" s="341"/>
      <c r="P1268" s="341"/>
      <c r="Q1268" s="214"/>
      <c r="R1268" s="212"/>
      <c r="S1268" s="212"/>
    </row>
    <row r="1269" spans="1:19" s="213" customFormat="1" ht="15.75">
      <c r="A1269" s="355"/>
      <c r="B1269" s="349" t="s">
        <v>1222</v>
      </c>
      <c r="C1269" s="352" t="s">
        <v>1233</v>
      </c>
      <c r="D1269" s="341">
        <v>1</v>
      </c>
      <c r="E1269" s="341"/>
      <c r="F1269" s="73"/>
      <c r="G1269" s="40"/>
      <c r="H1269" s="40"/>
      <c r="I1269" s="40"/>
      <c r="J1269" s="40"/>
      <c r="K1269" s="40"/>
      <c r="L1269" s="354"/>
      <c r="M1269" s="341"/>
      <c r="N1269" s="341">
        <v>1</v>
      </c>
      <c r="O1269" s="341"/>
      <c r="P1269" s="341"/>
      <c r="Q1269" s="214"/>
      <c r="R1269" s="212"/>
      <c r="S1269" s="212"/>
    </row>
    <row r="1270" spans="1:19" s="213" customFormat="1" ht="15.75">
      <c r="A1270" s="355"/>
      <c r="B1270" s="349" t="s">
        <v>1223</v>
      </c>
      <c r="C1270" s="352" t="s">
        <v>1234</v>
      </c>
      <c r="D1270" s="341">
        <v>1</v>
      </c>
      <c r="E1270" s="341"/>
      <c r="F1270" s="73"/>
      <c r="G1270" s="40"/>
      <c r="H1270" s="40"/>
      <c r="I1270" s="40"/>
      <c r="J1270" s="40"/>
      <c r="K1270" s="40"/>
      <c r="L1270" s="354"/>
      <c r="M1270" s="341"/>
      <c r="N1270" s="341"/>
      <c r="O1270" s="341"/>
      <c r="P1270" s="341">
        <v>1</v>
      </c>
      <c r="Q1270" s="214"/>
      <c r="R1270" s="212"/>
      <c r="S1270" s="212"/>
    </row>
    <row r="1271" spans="1:19" s="213" customFormat="1" ht="15.75">
      <c r="A1271" s="355"/>
      <c r="B1271" s="349" t="s">
        <v>1224</v>
      </c>
      <c r="C1271" s="352" t="s">
        <v>571</v>
      </c>
      <c r="D1271" s="341">
        <v>1</v>
      </c>
      <c r="E1271" s="341"/>
      <c r="F1271" s="73"/>
      <c r="G1271" s="40"/>
      <c r="H1271" s="40"/>
      <c r="I1271" s="40"/>
      <c r="J1271" s="40"/>
      <c r="K1271" s="40"/>
      <c r="L1271" s="354"/>
      <c r="M1271" s="341"/>
      <c r="N1271" s="341"/>
      <c r="O1271" s="341"/>
      <c r="P1271" s="341"/>
      <c r="Q1271" s="214"/>
      <c r="R1271" s="212"/>
      <c r="S1271" s="212"/>
    </row>
    <row r="1272" spans="1:19" s="213" customFormat="1" ht="15.75">
      <c r="A1272" s="355"/>
      <c r="B1272" s="349" t="s">
        <v>1225</v>
      </c>
      <c r="C1272" s="352" t="s">
        <v>1235</v>
      </c>
      <c r="D1272" s="341">
        <v>1</v>
      </c>
      <c r="E1272" s="341"/>
      <c r="F1272" s="73"/>
      <c r="G1272" s="40"/>
      <c r="H1272" s="40"/>
      <c r="I1272" s="40"/>
      <c r="J1272" s="40"/>
      <c r="K1272" s="40"/>
      <c r="L1272" s="354"/>
      <c r="M1272" s="341"/>
      <c r="N1272" s="341"/>
      <c r="O1272" s="341">
        <v>1</v>
      </c>
      <c r="P1272" s="341"/>
      <c r="Q1272" s="214"/>
      <c r="R1272" s="212"/>
      <c r="S1272" s="212"/>
    </row>
    <row r="1273" spans="1:19" s="213" customFormat="1" ht="15.75">
      <c r="A1273" s="355"/>
      <c r="B1273" s="349" t="s">
        <v>1226</v>
      </c>
      <c r="C1273" s="352" t="s">
        <v>1046</v>
      </c>
      <c r="D1273" s="341">
        <v>1</v>
      </c>
      <c r="E1273" s="341"/>
      <c r="F1273" s="73"/>
      <c r="G1273" s="40"/>
      <c r="H1273" s="40"/>
      <c r="I1273" s="40"/>
      <c r="J1273" s="40"/>
      <c r="K1273" s="40"/>
      <c r="L1273" s="354"/>
      <c r="M1273" s="341"/>
      <c r="N1273" s="341"/>
      <c r="O1273" s="341">
        <v>1</v>
      </c>
      <c r="P1273" s="341"/>
      <c r="Q1273" s="214"/>
      <c r="R1273" s="212"/>
      <c r="S1273" s="212"/>
    </row>
    <row r="1274" spans="1:19" s="213" customFormat="1" ht="15.75">
      <c r="A1274" s="355"/>
      <c r="B1274" s="349" t="s">
        <v>1236</v>
      </c>
      <c r="C1274" s="352" t="s">
        <v>1237</v>
      </c>
      <c r="D1274" s="341">
        <v>1</v>
      </c>
      <c r="E1274" s="341"/>
      <c r="F1274" s="73"/>
      <c r="G1274" s="40"/>
      <c r="H1274" s="40"/>
      <c r="I1274" s="40"/>
      <c r="J1274" s="40"/>
      <c r="K1274" s="40"/>
      <c r="L1274" s="354"/>
      <c r="M1274" s="341">
        <v>1</v>
      </c>
      <c r="N1274" s="341">
        <v>1</v>
      </c>
      <c r="O1274" s="341"/>
      <c r="P1274" s="341"/>
      <c r="Q1274" s="214"/>
      <c r="R1274" s="212"/>
      <c r="S1274" s="212"/>
    </row>
    <row r="1275" spans="1:19" s="213" customFormat="1" ht="15.75">
      <c r="A1275" s="355"/>
      <c r="B1275" s="349" t="s">
        <v>1227</v>
      </c>
      <c r="C1275" s="352" t="s">
        <v>73</v>
      </c>
      <c r="D1275" s="341">
        <v>1</v>
      </c>
      <c r="E1275" s="341"/>
      <c r="F1275" s="73"/>
      <c r="G1275" s="40"/>
      <c r="H1275" s="40"/>
      <c r="I1275" s="40"/>
      <c r="J1275" s="40"/>
      <c r="K1275" s="40"/>
      <c r="L1275" s="354"/>
      <c r="M1275" s="341"/>
      <c r="N1275" s="341">
        <v>1</v>
      </c>
      <c r="O1275" s="341"/>
      <c r="P1275" s="341"/>
      <c r="Q1275" s="214"/>
      <c r="R1275" s="212"/>
      <c r="S1275" s="212"/>
    </row>
    <row r="1276" spans="1:19" s="213" customFormat="1" ht="15.75">
      <c r="A1276" s="355"/>
      <c r="B1276" s="349" t="s">
        <v>1238</v>
      </c>
      <c r="C1276" s="352" t="s">
        <v>1239</v>
      </c>
      <c r="D1276" s="341">
        <v>2</v>
      </c>
      <c r="E1276" s="341"/>
      <c r="F1276" s="73"/>
      <c r="G1276" s="40"/>
      <c r="H1276" s="40"/>
      <c r="I1276" s="40"/>
      <c r="J1276" s="40"/>
      <c r="K1276" s="40"/>
      <c r="L1276" s="354"/>
      <c r="M1276" s="341"/>
      <c r="N1276" s="341">
        <v>1</v>
      </c>
      <c r="O1276" s="341"/>
      <c r="P1276" s="341"/>
      <c r="Q1276" s="214"/>
      <c r="R1276" s="212"/>
      <c r="S1276" s="212"/>
    </row>
    <row r="1277" spans="1:19" s="213" customFormat="1" ht="15.75">
      <c r="A1277" s="355"/>
      <c r="B1277" s="349" t="s">
        <v>1228</v>
      </c>
      <c r="C1277" s="352" t="s">
        <v>1194</v>
      </c>
      <c r="D1277" s="341">
        <v>1</v>
      </c>
      <c r="E1277" s="341"/>
      <c r="F1277" s="73"/>
      <c r="G1277" s="40"/>
      <c r="H1277" s="40"/>
      <c r="I1277" s="40"/>
      <c r="J1277" s="40"/>
      <c r="K1277" s="40"/>
      <c r="L1277" s="354"/>
      <c r="M1277" s="341">
        <v>1</v>
      </c>
      <c r="N1277" s="341">
        <v>1</v>
      </c>
      <c r="O1277" s="341"/>
      <c r="P1277" s="341"/>
      <c r="Q1277" s="214"/>
      <c r="R1277" s="212"/>
      <c r="S1277" s="212"/>
    </row>
    <row r="1278" spans="1:19" s="213" customFormat="1" ht="15.75">
      <c r="A1278" s="355"/>
      <c r="B1278" s="349" t="s">
        <v>1240</v>
      </c>
      <c r="C1278" s="352" t="s">
        <v>1241</v>
      </c>
      <c r="D1278" s="341">
        <v>1</v>
      </c>
      <c r="E1278" s="341"/>
      <c r="F1278" s="73"/>
      <c r="G1278" s="40"/>
      <c r="H1278" s="40"/>
      <c r="I1278" s="40"/>
      <c r="J1278" s="40"/>
      <c r="K1278" s="40"/>
      <c r="L1278" s="354"/>
      <c r="M1278" s="341"/>
      <c r="N1278" s="341"/>
      <c r="O1278" s="341"/>
      <c r="P1278" s="341"/>
      <c r="Q1278" s="214"/>
      <c r="R1278" s="212"/>
      <c r="S1278" s="212"/>
    </row>
    <row r="1279" spans="1:19" s="213" customFormat="1" ht="15.75">
      <c r="A1279" s="355"/>
      <c r="B1279" s="349" t="s">
        <v>1229</v>
      </c>
      <c r="C1279" s="352" t="s">
        <v>694</v>
      </c>
      <c r="D1279" s="341">
        <v>1</v>
      </c>
      <c r="E1279" s="341"/>
      <c r="F1279" s="73"/>
      <c r="G1279" s="40"/>
      <c r="H1279" s="40"/>
      <c r="I1279" s="40"/>
      <c r="J1279" s="40"/>
      <c r="K1279" s="40"/>
      <c r="L1279" s="354"/>
      <c r="M1279" s="341"/>
      <c r="N1279" s="341"/>
      <c r="O1279" s="341"/>
      <c r="P1279" s="341"/>
      <c r="Q1279" s="214"/>
      <c r="R1279" s="212"/>
      <c r="S1279" s="212"/>
    </row>
    <row r="1280" spans="1:19" s="213" customFormat="1" ht="15.75">
      <c r="A1280" s="355"/>
      <c r="B1280" s="349" t="s">
        <v>1230</v>
      </c>
      <c r="C1280" s="352" t="s">
        <v>1234</v>
      </c>
      <c r="D1280" s="341">
        <v>1</v>
      </c>
      <c r="E1280" s="341"/>
      <c r="F1280" s="73"/>
      <c r="G1280" s="40"/>
      <c r="H1280" s="40"/>
      <c r="I1280" s="40"/>
      <c r="J1280" s="40"/>
      <c r="K1280" s="40"/>
      <c r="L1280" s="354"/>
      <c r="M1280" s="341"/>
      <c r="N1280" s="341"/>
      <c r="O1280" s="341"/>
      <c r="P1280" s="341">
        <v>1</v>
      </c>
      <c r="Q1280" s="214"/>
      <c r="R1280" s="212"/>
      <c r="S1280" s="212"/>
    </row>
    <row r="1281" spans="1:19" s="213" customFormat="1" ht="15.75" customHeight="1">
      <c r="A1281" s="355"/>
      <c r="B1281" s="349" t="s">
        <v>1231</v>
      </c>
      <c r="C1281" s="352" t="s">
        <v>571</v>
      </c>
      <c r="D1281" s="341">
        <v>1</v>
      </c>
      <c r="E1281" s="341"/>
      <c r="F1281" s="73"/>
      <c r="G1281" s="40"/>
      <c r="H1281" s="40"/>
      <c r="I1281" s="40"/>
      <c r="J1281" s="40"/>
      <c r="K1281" s="40"/>
      <c r="L1281" s="351"/>
      <c r="M1281" s="341"/>
      <c r="N1281" s="341"/>
      <c r="O1281" s="341"/>
      <c r="P1281" s="341"/>
      <c r="Q1281" s="214"/>
      <c r="R1281" s="212"/>
      <c r="S1281" s="212"/>
    </row>
    <row r="1282" spans="1:19" s="207" customFormat="1" ht="18" customHeight="1">
      <c r="A1282" s="50"/>
      <c r="B1282" s="346" t="s">
        <v>37</v>
      </c>
      <c r="C1282" s="347"/>
      <c r="D1282" s="348">
        <f>D1283+D1284+D1285</f>
        <v>3</v>
      </c>
      <c r="E1282" s="348"/>
      <c r="F1282" s="60"/>
      <c r="G1282" s="60"/>
      <c r="H1282" s="60"/>
      <c r="I1282" s="60"/>
      <c r="J1282" s="60"/>
      <c r="K1282" s="60"/>
      <c r="L1282" s="60"/>
      <c r="M1282" s="348"/>
      <c r="N1282" s="348"/>
      <c r="O1282" s="348"/>
      <c r="P1282" s="348"/>
      <c r="Q1282" s="254">
        <f>SUM(Q1285:Q1290)</f>
        <v>0</v>
      </c>
      <c r="R1282" s="206">
        <f>SUM(R1285:R1290)</f>
        <v>3</v>
      </c>
      <c r="S1282" s="206">
        <f>SUM(S1285:S1290)</f>
        <v>0</v>
      </c>
    </row>
    <row r="1283" spans="1:19" s="207" customFormat="1" ht="18" customHeight="1">
      <c r="A1283" s="356"/>
      <c r="B1283" s="349" t="s">
        <v>1242</v>
      </c>
      <c r="C1283" s="352" t="s">
        <v>872</v>
      </c>
      <c r="D1283" s="341">
        <v>1</v>
      </c>
      <c r="E1283" s="341"/>
      <c r="F1283" s="257"/>
      <c r="G1283" s="60"/>
      <c r="H1283" s="60"/>
      <c r="I1283" s="60"/>
      <c r="J1283" s="60"/>
      <c r="K1283" s="60"/>
      <c r="L1283" s="354"/>
      <c r="M1283" s="341"/>
      <c r="N1283" s="341"/>
      <c r="O1283" s="341"/>
      <c r="P1283" s="341"/>
      <c r="Q1283" s="254"/>
      <c r="R1283" s="206"/>
      <c r="S1283" s="206"/>
    </row>
    <row r="1284" spans="1:19" s="207" customFormat="1" ht="18" customHeight="1">
      <c r="A1284" s="356"/>
      <c r="B1284" s="349" t="s">
        <v>1243</v>
      </c>
      <c r="C1284" s="352" t="s">
        <v>1053</v>
      </c>
      <c r="D1284" s="341">
        <v>1</v>
      </c>
      <c r="E1284" s="341"/>
      <c r="F1284" s="257"/>
      <c r="G1284" s="60"/>
      <c r="H1284" s="60"/>
      <c r="I1284" s="60"/>
      <c r="J1284" s="60"/>
      <c r="K1284" s="60"/>
      <c r="L1284" s="354"/>
      <c r="M1284" s="341"/>
      <c r="N1284" s="341"/>
      <c r="O1284" s="341"/>
      <c r="P1284" s="341"/>
      <c r="Q1284" s="254"/>
      <c r="R1284" s="206"/>
      <c r="S1284" s="206"/>
    </row>
    <row r="1285" spans="1:19" s="213" customFormat="1" ht="15.75" customHeight="1">
      <c r="A1285" s="355"/>
      <c r="B1285" s="349" t="s">
        <v>1244</v>
      </c>
      <c r="C1285" s="352" t="s">
        <v>872</v>
      </c>
      <c r="D1285" s="341">
        <v>1</v>
      </c>
      <c r="E1285" s="341"/>
      <c r="F1285" s="73"/>
      <c r="G1285" s="40"/>
      <c r="H1285" s="40"/>
      <c r="I1285" s="40"/>
      <c r="J1285" s="40"/>
      <c r="K1285" s="40"/>
      <c r="L1285" s="351"/>
      <c r="M1285" s="341"/>
      <c r="N1285" s="341"/>
      <c r="O1285" s="341"/>
      <c r="P1285" s="341"/>
      <c r="Q1285" s="214"/>
      <c r="R1285" s="212"/>
      <c r="S1285" s="212"/>
    </row>
    <row r="1286" spans="1:188" s="57" customFormat="1" ht="18" customHeight="1">
      <c r="A1286" s="13">
        <v>62</v>
      </c>
      <c r="B1286" s="242" t="s">
        <v>291</v>
      </c>
      <c r="C1286" s="243"/>
      <c r="D1286" s="244"/>
      <c r="E1286" s="244"/>
      <c r="F1286" s="44"/>
      <c r="G1286" s="44"/>
      <c r="H1286" s="44"/>
      <c r="I1286" s="44"/>
      <c r="J1286" s="44"/>
      <c r="K1286" s="44"/>
      <c r="L1286" s="44">
        <f aca="true" t="shared" si="55" ref="L1286:S1286">L1287</f>
        <v>3</v>
      </c>
      <c r="M1286" s="244">
        <f t="shared" si="55"/>
        <v>3</v>
      </c>
      <c r="N1286" s="244">
        <f t="shared" si="55"/>
        <v>3</v>
      </c>
      <c r="O1286" s="244">
        <f t="shared" si="55"/>
        <v>3</v>
      </c>
      <c r="P1286" s="244">
        <f t="shared" si="55"/>
        <v>3</v>
      </c>
      <c r="Q1286" s="123">
        <f t="shared" si="55"/>
        <v>0</v>
      </c>
      <c r="R1286" s="44">
        <f t="shared" si="55"/>
        <v>0</v>
      </c>
      <c r="S1286" s="44">
        <f t="shared" si="55"/>
        <v>0</v>
      </c>
      <c r="T1286" s="56"/>
      <c r="U1286" s="56"/>
      <c r="V1286" s="56"/>
      <c r="W1286" s="56"/>
      <c r="X1286" s="56"/>
      <c r="Y1286" s="56"/>
      <c r="Z1286" s="56"/>
      <c r="AA1286" s="56"/>
      <c r="AB1286" s="56"/>
      <c r="AC1286" s="56"/>
      <c r="AD1286" s="56"/>
      <c r="AE1286" s="56"/>
      <c r="AF1286" s="56"/>
      <c r="AG1286" s="56"/>
      <c r="AH1286" s="56"/>
      <c r="AI1286" s="56"/>
      <c r="AJ1286" s="56"/>
      <c r="AK1286" s="56"/>
      <c r="AL1286" s="56"/>
      <c r="AM1286" s="56"/>
      <c r="AN1286" s="56"/>
      <c r="AO1286" s="56"/>
      <c r="AP1286" s="56"/>
      <c r="AQ1286" s="56"/>
      <c r="AR1286" s="56"/>
      <c r="AS1286" s="56"/>
      <c r="AT1286" s="56"/>
      <c r="AU1286" s="56"/>
      <c r="AV1286" s="56"/>
      <c r="AW1286" s="56"/>
      <c r="AX1286" s="56"/>
      <c r="AY1286" s="56"/>
      <c r="AZ1286" s="56"/>
      <c r="BA1286" s="56"/>
      <c r="BB1286" s="56"/>
      <c r="BC1286" s="56"/>
      <c r="BD1286" s="56"/>
      <c r="BE1286" s="56"/>
      <c r="BF1286" s="56"/>
      <c r="BG1286" s="56"/>
      <c r="BH1286" s="56"/>
      <c r="BI1286" s="56"/>
      <c r="BJ1286" s="56"/>
      <c r="BK1286" s="56"/>
      <c r="BL1286" s="56"/>
      <c r="BM1286" s="56"/>
      <c r="BN1286" s="56"/>
      <c r="BO1286" s="56"/>
      <c r="BP1286" s="56"/>
      <c r="BQ1286" s="56"/>
      <c r="BR1286" s="56"/>
      <c r="BS1286" s="56"/>
      <c r="BT1286" s="56"/>
      <c r="BU1286" s="56"/>
      <c r="BV1286" s="56"/>
      <c r="BW1286" s="56"/>
      <c r="BX1286" s="56"/>
      <c r="BY1286" s="56"/>
      <c r="BZ1286" s="56"/>
      <c r="CA1286" s="56"/>
      <c r="CB1286" s="56"/>
      <c r="CC1286" s="56"/>
      <c r="CD1286" s="56"/>
      <c r="CE1286" s="56"/>
      <c r="CF1286" s="56"/>
      <c r="CG1286" s="56"/>
      <c r="CH1286" s="56"/>
      <c r="CI1286" s="56"/>
      <c r="CJ1286" s="56"/>
      <c r="CK1286" s="56"/>
      <c r="CL1286" s="56"/>
      <c r="CM1286" s="56"/>
      <c r="CN1286" s="56"/>
      <c r="CO1286" s="56"/>
      <c r="CP1286" s="56"/>
      <c r="CQ1286" s="56"/>
      <c r="CR1286" s="56"/>
      <c r="CS1286" s="56"/>
      <c r="CT1286" s="56"/>
      <c r="CU1286" s="56"/>
      <c r="CV1286" s="56"/>
      <c r="CW1286" s="56"/>
      <c r="CX1286" s="56"/>
      <c r="CY1286" s="56"/>
      <c r="CZ1286" s="56"/>
      <c r="DA1286" s="56"/>
      <c r="DB1286" s="56"/>
      <c r="DC1286" s="56"/>
      <c r="DD1286" s="56"/>
      <c r="DE1286" s="56"/>
      <c r="DF1286" s="56"/>
      <c r="DG1286" s="56"/>
      <c r="DH1286" s="56"/>
      <c r="DI1286" s="56"/>
      <c r="DJ1286" s="56"/>
      <c r="DK1286" s="56"/>
      <c r="DL1286" s="56"/>
      <c r="DM1286" s="56"/>
      <c r="DN1286" s="56"/>
      <c r="DO1286" s="56"/>
      <c r="DP1286" s="56"/>
      <c r="DQ1286" s="56"/>
      <c r="DR1286" s="56"/>
      <c r="DS1286" s="56"/>
      <c r="DT1286" s="56"/>
      <c r="DU1286" s="56"/>
      <c r="DV1286" s="56"/>
      <c r="DW1286" s="56"/>
      <c r="DX1286" s="56"/>
      <c r="DY1286" s="56"/>
      <c r="DZ1286" s="56"/>
      <c r="EA1286" s="56"/>
      <c r="EB1286" s="56"/>
      <c r="EC1286" s="56"/>
      <c r="ED1286" s="56"/>
      <c r="EE1286" s="56"/>
      <c r="EF1286" s="56"/>
      <c r="EG1286" s="56"/>
      <c r="EH1286" s="56"/>
      <c r="EI1286" s="56"/>
      <c r="EJ1286" s="56"/>
      <c r="EK1286" s="56"/>
      <c r="EL1286" s="56"/>
      <c r="EM1286" s="56"/>
      <c r="EN1286" s="56"/>
      <c r="EO1286" s="56"/>
      <c r="EP1286" s="56"/>
      <c r="EQ1286" s="56"/>
      <c r="ER1286" s="56"/>
      <c r="ES1286" s="56"/>
      <c r="ET1286" s="56"/>
      <c r="EU1286" s="56"/>
      <c r="EV1286" s="56"/>
      <c r="EW1286" s="56"/>
      <c r="EX1286" s="56"/>
      <c r="EY1286" s="56"/>
      <c r="EZ1286" s="56"/>
      <c r="FA1286" s="56"/>
      <c r="FB1286" s="56"/>
      <c r="FC1286" s="56"/>
      <c r="FD1286" s="56"/>
      <c r="FE1286" s="56"/>
      <c r="FF1286" s="56"/>
      <c r="FG1286" s="56"/>
      <c r="FH1286" s="56"/>
      <c r="FI1286" s="56"/>
      <c r="FJ1286" s="56"/>
      <c r="FK1286" s="56"/>
      <c r="FL1286" s="56"/>
      <c r="FM1286" s="56"/>
      <c r="FN1286" s="56"/>
      <c r="FO1286" s="56"/>
      <c r="FP1286" s="56"/>
      <c r="FQ1286" s="56"/>
      <c r="FR1286" s="56"/>
      <c r="FS1286" s="56"/>
      <c r="FT1286" s="56"/>
      <c r="FU1286" s="56"/>
      <c r="FV1286" s="56"/>
      <c r="FW1286" s="56"/>
      <c r="FX1286" s="56"/>
      <c r="FY1286" s="56"/>
      <c r="FZ1286" s="56"/>
      <c r="GA1286" s="56"/>
      <c r="GB1286" s="56"/>
      <c r="GC1286" s="56"/>
      <c r="GD1286" s="56"/>
      <c r="GE1286" s="56"/>
      <c r="GF1286" s="56"/>
    </row>
    <row r="1287" spans="1:57" s="43" customFormat="1" ht="15.75">
      <c r="A1287" s="13"/>
      <c r="B1287" s="93" t="s">
        <v>670</v>
      </c>
      <c r="C1287" s="15"/>
      <c r="D1287" s="40"/>
      <c r="E1287" s="40"/>
      <c r="F1287" s="40"/>
      <c r="G1287" s="40"/>
      <c r="H1287" s="40"/>
      <c r="I1287" s="40"/>
      <c r="J1287" s="40"/>
      <c r="K1287" s="40"/>
      <c r="L1287" s="60">
        <f>SUM(L1288:L1288)</f>
        <v>3</v>
      </c>
      <c r="M1287" s="60">
        <f>SUM(M1288:M1288)</f>
        <v>3</v>
      </c>
      <c r="N1287" s="60">
        <f>SUM(N1288:N1288)</f>
        <v>3</v>
      </c>
      <c r="O1287" s="60">
        <f>SUM(O1288:O1288)</f>
        <v>3</v>
      </c>
      <c r="P1287" s="60">
        <f>SUM(P1288:P1288)</f>
        <v>3</v>
      </c>
      <c r="Q1287" s="70"/>
      <c r="R1287" s="41"/>
      <c r="S1287" s="41"/>
      <c r="T1287" s="46"/>
      <c r="U1287" s="46"/>
      <c r="V1287" s="46"/>
      <c r="W1287" s="46"/>
      <c r="X1287" s="46"/>
      <c r="Y1287" s="46"/>
      <c r="Z1287" s="46"/>
      <c r="AA1287" s="46"/>
      <c r="AB1287" s="46"/>
      <c r="AC1287" s="46"/>
      <c r="AD1287" s="46"/>
      <c r="AE1287" s="46"/>
      <c r="AF1287" s="46"/>
      <c r="AG1287" s="46"/>
      <c r="AH1287" s="46"/>
      <c r="AI1287" s="46"/>
      <c r="AJ1287" s="46"/>
      <c r="AK1287" s="46"/>
      <c r="AL1287" s="46"/>
      <c r="AM1287" s="46"/>
      <c r="AN1287" s="46"/>
      <c r="AO1287" s="46"/>
      <c r="AP1287" s="46"/>
      <c r="AQ1287" s="46"/>
      <c r="AR1287" s="46"/>
      <c r="AS1287" s="46"/>
      <c r="AT1287" s="46"/>
      <c r="AU1287" s="46"/>
      <c r="AV1287" s="46"/>
      <c r="BA1287" s="49"/>
      <c r="BB1287" s="42"/>
      <c r="BC1287" s="42"/>
      <c r="BD1287" s="42"/>
      <c r="BE1287" s="42"/>
    </row>
    <row r="1288" spans="1:57" s="43" customFormat="1" ht="15.75">
      <c r="A1288" s="13"/>
      <c r="B1288" s="97" t="s">
        <v>409</v>
      </c>
      <c r="C1288" s="15" t="s">
        <v>410</v>
      </c>
      <c r="D1288" s="40"/>
      <c r="E1288" s="40"/>
      <c r="F1288" s="40">
        <v>24</v>
      </c>
      <c r="G1288" s="40">
        <v>25</v>
      </c>
      <c r="H1288" s="40">
        <v>25</v>
      </c>
      <c r="I1288" s="40">
        <v>26</v>
      </c>
      <c r="J1288" s="40"/>
      <c r="K1288" s="40">
        <v>26</v>
      </c>
      <c r="L1288" s="40">
        <v>3</v>
      </c>
      <c r="M1288" s="40">
        <v>3</v>
      </c>
      <c r="N1288" s="40">
        <v>3</v>
      </c>
      <c r="O1288" s="40">
        <v>3</v>
      </c>
      <c r="P1288" s="40">
        <v>3</v>
      </c>
      <c r="Q1288" s="70"/>
      <c r="R1288" s="41"/>
      <c r="S1288" s="41"/>
      <c r="T1288" s="46"/>
      <c r="U1288" s="46"/>
      <c r="V1288" s="46"/>
      <c r="W1288" s="46"/>
      <c r="X1288" s="46"/>
      <c r="Y1288" s="46"/>
      <c r="Z1288" s="46"/>
      <c r="AA1288" s="46"/>
      <c r="AB1288" s="46"/>
      <c r="AC1288" s="46"/>
      <c r="AD1288" s="46"/>
      <c r="AE1288" s="46"/>
      <c r="AF1288" s="46"/>
      <c r="AG1288" s="46"/>
      <c r="AH1288" s="46"/>
      <c r="AI1288" s="46"/>
      <c r="AJ1288" s="46"/>
      <c r="AK1288" s="46"/>
      <c r="AL1288" s="46"/>
      <c r="AM1288" s="46"/>
      <c r="AN1288" s="46"/>
      <c r="AO1288" s="46"/>
      <c r="AP1288" s="46"/>
      <c r="AQ1288" s="46"/>
      <c r="AR1288" s="46"/>
      <c r="AS1288" s="46"/>
      <c r="AT1288" s="46"/>
      <c r="AU1288" s="46"/>
      <c r="AV1288" s="46"/>
      <c r="BA1288" s="49"/>
      <c r="BB1288" s="42"/>
      <c r="BC1288" s="42"/>
      <c r="BD1288" s="42"/>
      <c r="BE1288" s="42"/>
    </row>
    <row r="1289" spans="1:188" s="57" customFormat="1" ht="33.75" customHeight="1">
      <c r="A1289" s="13">
        <v>63</v>
      </c>
      <c r="B1289" s="92" t="s">
        <v>230</v>
      </c>
      <c r="C1289" s="45"/>
      <c r="D1289" s="44">
        <v>225</v>
      </c>
      <c r="E1289" s="44"/>
      <c r="F1289" s="44">
        <v>164</v>
      </c>
      <c r="G1289" s="44">
        <v>164</v>
      </c>
      <c r="H1289" s="44">
        <v>164</v>
      </c>
      <c r="I1289" s="44">
        <v>164</v>
      </c>
      <c r="J1289" s="44"/>
      <c r="K1289" s="44">
        <v>164</v>
      </c>
      <c r="L1289" s="44">
        <f>SUM(L1290,L1294,L1296)</f>
        <v>6</v>
      </c>
      <c r="M1289" s="44">
        <f>SUM(M1290,M1294,M1296)</f>
        <v>5</v>
      </c>
      <c r="N1289" s="44">
        <f>SUM(N1290,N1294,N1296)</f>
        <v>3</v>
      </c>
      <c r="O1289" s="44">
        <f>SUM(O1290,O1294,O1296)</f>
        <v>4</v>
      </c>
      <c r="P1289" s="44">
        <f>SUM(P1290,P1294,P1296)</f>
        <v>3</v>
      </c>
      <c r="Q1289" s="54" t="s">
        <v>649</v>
      </c>
      <c r="R1289" s="54">
        <v>3</v>
      </c>
      <c r="S1289" s="55" t="s">
        <v>418</v>
      </c>
      <c r="T1289" s="56"/>
      <c r="U1289" s="56"/>
      <c r="V1289" s="56"/>
      <c r="W1289" s="56"/>
      <c r="X1289" s="56"/>
      <c r="Y1289" s="56"/>
      <c r="Z1289" s="56"/>
      <c r="AA1289" s="56"/>
      <c r="AB1289" s="56"/>
      <c r="AC1289" s="56"/>
      <c r="AD1289" s="56"/>
      <c r="AE1289" s="56"/>
      <c r="AF1289" s="56"/>
      <c r="AG1289" s="56"/>
      <c r="AH1289" s="56"/>
      <c r="AI1289" s="56"/>
      <c r="AJ1289" s="56"/>
      <c r="AK1289" s="56"/>
      <c r="AL1289" s="56"/>
      <c r="AM1289" s="56"/>
      <c r="AN1289" s="56"/>
      <c r="AO1289" s="56"/>
      <c r="AP1289" s="56"/>
      <c r="AQ1289" s="56"/>
      <c r="AR1289" s="56"/>
      <c r="AS1289" s="56"/>
      <c r="AT1289" s="56"/>
      <c r="AU1289" s="56"/>
      <c r="AV1289" s="56"/>
      <c r="AW1289" s="56"/>
      <c r="AX1289" s="56"/>
      <c r="AY1289" s="56"/>
      <c r="AZ1289" s="56"/>
      <c r="BA1289" s="56"/>
      <c r="BB1289" s="56"/>
      <c r="BC1289" s="56"/>
      <c r="BD1289" s="56"/>
      <c r="BE1289" s="56"/>
      <c r="BF1289" s="56"/>
      <c r="BG1289" s="56"/>
      <c r="BH1289" s="56"/>
      <c r="BI1289" s="56"/>
      <c r="BJ1289" s="56"/>
      <c r="BK1289" s="56"/>
      <c r="BL1289" s="56"/>
      <c r="BM1289" s="56"/>
      <c r="BN1289" s="56"/>
      <c r="BO1289" s="56"/>
      <c r="BP1289" s="56"/>
      <c r="BQ1289" s="56"/>
      <c r="BR1289" s="56"/>
      <c r="BS1289" s="56"/>
      <c r="BT1289" s="56"/>
      <c r="BU1289" s="56"/>
      <c r="BV1289" s="56"/>
      <c r="BW1289" s="56"/>
      <c r="BX1289" s="56"/>
      <c r="BY1289" s="56"/>
      <c r="BZ1289" s="56"/>
      <c r="CA1289" s="56"/>
      <c r="CB1289" s="56"/>
      <c r="CC1289" s="56"/>
      <c r="CD1289" s="56"/>
      <c r="CE1289" s="56"/>
      <c r="CF1289" s="56"/>
      <c r="CG1289" s="56"/>
      <c r="CH1289" s="56"/>
      <c r="CI1289" s="56"/>
      <c r="CJ1289" s="56"/>
      <c r="CK1289" s="56"/>
      <c r="CL1289" s="56"/>
      <c r="CM1289" s="56"/>
      <c r="CN1289" s="56"/>
      <c r="CO1289" s="56"/>
      <c r="CP1289" s="56"/>
      <c r="CQ1289" s="56"/>
      <c r="CR1289" s="56"/>
      <c r="CS1289" s="56"/>
      <c r="CT1289" s="56"/>
      <c r="CU1289" s="56"/>
      <c r="CV1289" s="56"/>
      <c r="CW1289" s="56"/>
      <c r="CX1289" s="56"/>
      <c r="CY1289" s="56"/>
      <c r="CZ1289" s="56"/>
      <c r="DA1289" s="56"/>
      <c r="DB1289" s="56"/>
      <c r="DC1289" s="56"/>
      <c r="DD1289" s="56"/>
      <c r="DE1289" s="56"/>
      <c r="DF1289" s="56"/>
      <c r="DG1289" s="56"/>
      <c r="DH1289" s="56"/>
      <c r="DI1289" s="56"/>
      <c r="DJ1289" s="56"/>
      <c r="DK1289" s="56"/>
      <c r="DL1289" s="56"/>
      <c r="DM1289" s="56"/>
      <c r="DN1289" s="56"/>
      <c r="DO1289" s="56"/>
      <c r="DP1289" s="56"/>
      <c r="DQ1289" s="56"/>
      <c r="DR1289" s="56"/>
      <c r="DS1289" s="56"/>
      <c r="DT1289" s="56"/>
      <c r="DU1289" s="56"/>
      <c r="DV1289" s="56"/>
      <c r="DW1289" s="56"/>
      <c r="DX1289" s="56"/>
      <c r="DY1289" s="56"/>
      <c r="DZ1289" s="56"/>
      <c r="EA1289" s="56"/>
      <c r="EB1289" s="56"/>
      <c r="EC1289" s="56"/>
      <c r="ED1289" s="56"/>
      <c r="EE1289" s="56"/>
      <c r="EF1289" s="56"/>
      <c r="EG1289" s="56"/>
      <c r="EH1289" s="56"/>
      <c r="EI1289" s="56"/>
      <c r="EJ1289" s="56"/>
      <c r="EK1289" s="56"/>
      <c r="EL1289" s="56"/>
      <c r="EM1289" s="56"/>
      <c r="EN1289" s="56"/>
      <c r="EO1289" s="56"/>
      <c r="EP1289" s="56"/>
      <c r="EQ1289" s="56"/>
      <c r="ER1289" s="56"/>
      <c r="ES1289" s="56"/>
      <c r="ET1289" s="56"/>
      <c r="EU1289" s="56"/>
      <c r="EV1289" s="56"/>
      <c r="EW1289" s="56"/>
      <c r="EX1289" s="56"/>
      <c r="EY1289" s="56"/>
      <c r="EZ1289" s="56"/>
      <c r="FA1289" s="56"/>
      <c r="FB1289" s="56"/>
      <c r="FC1289" s="56"/>
      <c r="FD1289" s="56"/>
      <c r="FE1289" s="56"/>
      <c r="FF1289" s="56"/>
      <c r="FG1289" s="56"/>
      <c r="FH1289" s="56"/>
      <c r="FI1289" s="56"/>
      <c r="FJ1289" s="56"/>
      <c r="FK1289" s="56"/>
      <c r="FL1289" s="56"/>
      <c r="FM1289" s="56"/>
      <c r="FN1289" s="56"/>
      <c r="FO1289" s="56"/>
      <c r="FP1289" s="56"/>
      <c r="FQ1289" s="56"/>
      <c r="FR1289" s="56"/>
      <c r="FS1289" s="56"/>
      <c r="FT1289" s="56"/>
      <c r="FU1289" s="56"/>
      <c r="FV1289" s="56"/>
      <c r="FW1289" s="56"/>
      <c r="FX1289" s="56"/>
      <c r="FY1289" s="56"/>
      <c r="FZ1289" s="56"/>
      <c r="GA1289" s="56"/>
      <c r="GB1289" s="56"/>
      <c r="GC1289" s="56"/>
      <c r="GD1289" s="56"/>
      <c r="GE1289" s="56"/>
      <c r="GF1289" s="56"/>
    </row>
    <row r="1290" spans="1:48" s="18" customFormat="1" ht="16.5" customHeight="1">
      <c r="A1290" s="50"/>
      <c r="B1290" s="93" t="s">
        <v>669</v>
      </c>
      <c r="C1290" s="16"/>
      <c r="D1290" s="52"/>
      <c r="E1290" s="52"/>
      <c r="F1290" s="52"/>
      <c r="G1290" s="52"/>
      <c r="H1290" s="52"/>
      <c r="I1290" s="52"/>
      <c r="J1290" s="52"/>
      <c r="K1290" s="52"/>
      <c r="L1290" s="60">
        <f>SUM(L1291:L1293)</f>
        <v>3</v>
      </c>
      <c r="M1290" s="60">
        <f>SUM(M1291:M1293)</f>
        <v>4</v>
      </c>
      <c r="N1290" s="60">
        <f>SUM(N1291:N1293)</f>
        <v>2</v>
      </c>
      <c r="O1290" s="60">
        <f>SUM(O1291:O1293)</f>
        <v>3</v>
      </c>
      <c r="P1290" s="60">
        <f>SUM(P1291:P1293)</f>
        <v>2</v>
      </c>
      <c r="Q1290" s="23"/>
      <c r="R1290" s="23"/>
      <c r="S1290" s="17"/>
      <c r="T1290" s="47"/>
      <c r="U1290" s="47"/>
      <c r="V1290" s="47"/>
      <c r="W1290" s="47"/>
      <c r="X1290" s="47"/>
      <c r="Y1290" s="47"/>
      <c r="Z1290" s="47"/>
      <c r="AA1290" s="47"/>
      <c r="AB1290" s="47"/>
      <c r="AC1290" s="47"/>
      <c r="AD1290" s="47"/>
      <c r="AE1290" s="47"/>
      <c r="AF1290" s="47"/>
      <c r="AG1290" s="47"/>
      <c r="AH1290" s="47"/>
      <c r="AI1290" s="47"/>
      <c r="AJ1290" s="47"/>
      <c r="AK1290" s="47"/>
      <c r="AL1290" s="47"/>
      <c r="AM1290" s="47"/>
      <c r="AN1290" s="47"/>
      <c r="AO1290" s="47"/>
      <c r="AP1290" s="47"/>
      <c r="AQ1290" s="47"/>
      <c r="AR1290" s="47"/>
      <c r="AS1290" s="47"/>
      <c r="AT1290" s="47"/>
      <c r="AU1290" s="47"/>
      <c r="AV1290" s="47"/>
    </row>
    <row r="1291" spans="1:48" s="27" customFormat="1" ht="18.75" customHeight="1">
      <c r="A1291" s="12"/>
      <c r="B1291" s="97" t="s">
        <v>1316</v>
      </c>
      <c r="C1291" s="29" t="s">
        <v>1317</v>
      </c>
      <c r="D1291" s="51"/>
      <c r="E1291" s="51"/>
      <c r="F1291" s="51">
        <v>32</v>
      </c>
      <c r="G1291" s="51">
        <v>32</v>
      </c>
      <c r="H1291" s="51">
        <v>32</v>
      </c>
      <c r="I1291" s="51">
        <v>32</v>
      </c>
      <c r="J1291" s="51"/>
      <c r="K1291" s="51">
        <v>32</v>
      </c>
      <c r="L1291" s="40">
        <v>1</v>
      </c>
      <c r="M1291" s="40">
        <v>1</v>
      </c>
      <c r="N1291" s="40">
        <v>1</v>
      </c>
      <c r="O1291" s="40">
        <v>2</v>
      </c>
      <c r="P1291" s="40">
        <v>1</v>
      </c>
      <c r="Q1291" s="30"/>
      <c r="R1291" s="30"/>
      <c r="S1291" s="30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</row>
    <row r="1292" spans="1:48" s="27" customFormat="1" ht="18" customHeight="1">
      <c r="A1292" s="12"/>
      <c r="B1292" s="97" t="s">
        <v>564</v>
      </c>
      <c r="C1292" s="29" t="s">
        <v>565</v>
      </c>
      <c r="D1292" s="51"/>
      <c r="E1292" s="51"/>
      <c r="F1292" s="51">
        <v>63</v>
      </c>
      <c r="G1292" s="51">
        <v>63</v>
      </c>
      <c r="H1292" s="51">
        <v>63</v>
      </c>
      <c r="I1292" s="51">
        <v>63</v>
      </c>
      <c r="J1292" s="51"/>
      <c r="K1292" s="51">
        <v>63</v>
      </c>
      <c r="L1292" s="40" t="s">
        <v>556</v>
      </c>
      <c r="M1292" s="40">
        <v>1</v>
      </c>
      <c r="N1292" s="40" t="s">
        <v>556</v>
      </c>
      <c r="O1292" s="40" t="s">
        <v>556</v>
      </c>
      <c r="P1292" s="40" t="s">
        <v>556</v>
      </c>
      <c r="Q1292" s="30"/>
      <c r="R1292" s="30"/>
      <c r="S1292" s="30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</row>
    <row r="1293" spans="1:48" s="27" customFormat="1" ht="18" customHeight="1">
      <c r="A1293" s="12"/>
      <c r="B1293" s="97" t="s">
        <v>448</v>
      </c>
      <c r="C1293" s="29" t="s">
        <v>449</v>
      </c>
      <c r="D1293" s="51"/>
      <c r="E1293" s="51"/>
      <c r="F1293" s="51"/>
      <c r="G1293" s="51"/>
      <c r="H1293" s="51"/>
      <c r="I1293" s="51"/>
      <c r="J1293" s="51"/>
      <c r="K1293" s="51"/>
      <c r="L1293" s="40">
        <v>2</v>
      </c>
      <c r="M1293" s="40">
        <v>2</v>
      </c>
      <c r="N1293" s="40">
        <v>1</v>
      </c>
      <c r="O1293" s="40">
        <v>1</v>
      </c>
      <c r="P1293" s="40">
        <v>1</v>
      </c>
      <c r="Q1293" s="30"/>
      <c r="R1293" s="30"/>
      <c r="S1293" s="30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</row>
    <row r="1294" spans="1:57" s="43" customFormat="1" ht="15.75">
      <c r="A1294" s="13"/>
      <c r="B1294" s="93" t="s">
        <v>670</v>
      </c>
      <c r="C1294" s="15"/>
      <c r="D1294" s="40"/>
      <c r="E1294" s="40"/>
      <c r="F1294" s="40"/>
      <c r="G1294" s="40"/>
      <c r="H1294" s="40"/>
      <c r="I1294" s="40"/>
      <c r="J1294" s="40"/>
      <c r="K1294" s="40"/>
      <c r="L1294" s="60">
        <f>L1295</f>
        <v>2</v>
      </c>
      <c r="M1294" s="60">
        <f>M1295</f>
        <v>1</v>
      </c>
      <c r="N1294" s="60">
        <f>N1295</f>
        <v>1</v>
      </c>
      <c r="O1294" s="60">
        <f>O1295</f>
        <v>1</v>
      </c>
      <c r="P1294" s="60">
        <f>P1295</f>
        <v>1</v>
      </c>
      <c r="Q1294" s="70"/>
      <c r="R1294" s="41"/>
      <c r="S1294" s="41"/>
      <c r="T1294" s="46"/>
      <c r="U1294" s="46"/>
      <c r="V1294" s="46"/>
      <c r="W1294" s="46"/>
      <c r="X1294" s="46"/>
      <c r="Y1294" s="46"/>
      <c r="Z1294" s="46"/>
      <c r="AA1294" s="46"/>
      <c r="AB1294" s="46"/>
      <c r="AC1294" s="46"/>
      <c r="AD1294" s="46"/>
      <c r="AE1294" s="46"/>
      <c r="AF1294" s="46"/>
      <c r="AG1294" s="46"/>
      <c r="AH1294" s="46"/>
      <c r="AI1294" s="46"/>
      <c r="AJ1294" s="46"/>
      <c r="AK1294" s="46"/>
      <c r="AL1294" s="46"/>
      <c r="AM1294" s="46"/>
      <c r="AN1294" s="46"/>
      <c r="AO1294" s="46"/>
      <c r="AP1294" s="46"/>
      <c r="AQ1294" s="46"/>
      <c r="AR1294" s="46"/>
      <c r="AS1294" s="46"/>
      <c r="AT1294" s="46"/>
      <c r="AU1294" s="46"/>
      <c r="AV1294" s="46"/>
      <c r="BA1294" s="49"/>
      <c r="BB1294" s="42"/>
      <c r="BC1294" s="42"/>
      <c r="BD1294" s="42"/>
      <c r="BE1294" s="42"/>
    </row>
    <row r="1295" spans="1:57" s="43" customFormat="1" ht="15.75">
      <c r="A1295" s="13"/>
      <c r="B1295" s="97" t="s">
        <v>117</v>
      </c>
      <c r="C1295" s="29" t="s">
        <v>118</v>
      </c>
      <c r="D1295" s="40"/>
      <c r="E1295" s="40"/>
      <c r="F1295" s="40">
        <v>24</v>
      </c>
      <c r="G1295" s="40">
        <v>15</v>
      </c>
      <c r="H1295" s="40">
        <v>15</v>
      </c>
      <c r="I1295" s="40">
        <v>15</v>
      </c>
      <c r="J1295" s="40"/>
      <c r="K1295" s="40">
        <v>15</v>
      </c>
      <c r="L1295" s="40">
        <v>2</v>
      </c>
      <c r="M1295" s="40">
        <v>1</v>
      </c>
      <c r="N1295" s="40">
        <v>1</v>
      </c>
      <c r="O1295" s="40">
        <v>1</v>
      </c>
      <c r="P1295" s="40">
        <v>1</v>
      </c>
      <c r="Q1295" s="70"/>
      <c r="R1295" s="41"/>
      <c r="S1295" s="41"/>
      <c r="T1295" s="46"/>
      <c r="U1295" s="46"/>
      <c r="V1295" s="46"/>
      <c r="W1295" s="46"/>
      <c r="X1295" s="46"/>
      <c r="Y1295" s="46"/>
      <c r="Z1295" s="46"/>
      <c r="AA1295" s="46"/>
      <c r="AB1295" s="46"/>
      <c r="AC1295" s="46"/>
      <c r="AD1295" s="46"/>
      <c r="AE1295" s="46"/>
      <c r="AF1295" s="46"/>
      <c r="AG1295" s="46"/>
      <c r="AH1295" s="46"/>
      <c r="AI1295" s="46"/>
      <c r="AJ1295" s="46"/>
      <c r="AK1295" s="46"/>
      <c r="AL1295" s="46"/>
      <c r="AM1295" s="46"/>
      <c r="AN1295" s="46"/>
      <c r="AO1295" s="46"/>
      <c r="AP1295" s="46"/>
      <c r="AQ1295" s="46"/>
      <c r="AR1295" s="46"/>
      <c r="AS1295" s="46"/>
      <c r="AT1295" s="46"/>
      <c r="AU1295" s="46"/>
      <c r="AV1295" s="46"/>
      <c r="BA1295" s="49"/>
      <c r="BB1295" s="42"/>
      <c r="BC1295" s="42"/>
      <c r="BD1295" s="42"/>
      <c r="BE1295" s="42"/>
    </row>
    <row r="1296" spans="1:48" s="18" customFormat="1" ht="18" customHeight="1">
      <c r="A1296" s="50"/>
      <c r="B1296" s="93" t="s">
        <v>37</v>
      </c>
      <c r="C1296" s="16"/>
      <c r="D1296" s="52"/>
      <c r="E1296" s="52"/>
      <c r="F1296" s="52"/>
      <c r="G1296" s="52"/>
      <c r="H1296" s="52"/>
      <c r="I1296" s="52"/>
      <c r="J1296" s="52"/>
      <c r="K1296" s="52"/>
      <c r="L1296" s="60">
        <f>L1297</f>
        <v>1</v>
      </c>
      <c r="M1296" s="60" t="s">
        <v>556</v>
      </c>
      <c r="N1296" s="60" t="s">
        <v>556</v>
      </c>
      <c r="O1296" s="60" t="s">
        <v>556</v>
      </c>
      <c r="P1296" s="60" t="s">
        <v>556</v>
      </c>
      <c r="Q1296" s="238">
        <f>SUM(Q1297:Q1302)</f>
        <v>0</v>
      </c>
      <c r="R1296" s="52">
        <f>SUM(R1297:R1302)</f>
        <v>0</v>
      </c>
      <c r="S1296" s="52">
        <f>SUM(S1297:S1302)</f>
        <v>0</v>
      </c>
      <c r="T1296" s="47"/>
      <c r="U1296" s="47"/>
      <c r="V1296" s="47"/>
      <c r="W1296" s="47"/>
      <c r="X1296" s="47"/>
      <c r="Y1296" s="47"/>
      <c r="Z1296" s="47"/>
      <c r="AA1296" s="47"/>
      <c r="AB1296" s="47"/>
      <c r="AC1296" s="47"/>
      <c r="AD1296" s="47"/>
      <c r="AE1296" s="47"/>
      <c r="AF1296" s="47"/>
      <c r="AG1296" s="47"/>
      <c r="AH1296" s="47"/>
      <c r="AI1296" s="47"/>
      <c r="AJ1296" s="47"/>
      <c r="AK1296" s="47"/>
      <c r="AL1296" s="47"/>
      <c r="AM1296" s="47"/>
      <c r="AN1296" s="47"/>
      <c r="AO1296" s="47"/>
      <c r="AP1296" s="47"/>
      <c r="AQ1296" s="47"/>
      <c r="AR1296" s="47"/>
      <c r="AS1296" s="47"/>
      <c r="AT1296" s="47"/>
      <c r="AU1296" s="47"/>
      <c r="AV1296" s="47"/>
    </row>
    <row r="1297" spans="1:48" s="27" customFormat="1" ht="17.25" customHeight="1">
      <c r="A1297" s="12"/>
      <c r="B1297" s="97" t="s">
        <v>119</v>
      </c>
      <c r="C1297" s="15" t="s">
        <v>120</v>
      </c>
      <c r="D1297" s="40"/>
      <c r="E1297" s="40"/>
      <c r="F1297" s="40" t="s">
        <v>556</v>
      </c>
      <c r="G1297" s="40">
        <v>2</v>
      </c>
      <c r="H1297" s="40">
        <v>2</v>
      </c>
      <c r="I1297" s="40">
        <v>2</v>
      </c>
      <c r="J1297" s="40">
        <v>2</v>
      </c>
      <c r="K1297" s="40">
        <v>2</v>
      </c>
      <c r="L1297" s="40">
        <v>1</v>
      </c>
      <c r="M1297" s="40">
        <v>1</v>
      </c>
      <c r="N1297" s="40">
        <v>1</v>
      </c>
      <c r="O1297" s="40">
        <v>1</v>
      </c>
      <c r="P1297" s="40">
        <v>1</v>
      </c>
      <c r="Q1297" s="30"/>
      <c r="R1297" s="30"/>
      <c r="S1297" s="30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</row>
    <row r="1298" spans="1:188" s="57" customFormat="1" ht="18" customHeight="1">
      <c r="A1298" s="13">
        <v>64</v>
      </c>
      <c r="B1298" s="92" t="s">
        <v>974</v>
      </c>
      <c r="C1298" s="45"/>
      <c r="D1298" s="44">
        <v>113</v>
      </c>
      <c r="E1298" s="44">
        <v>37</v>
      </c>
      <c r="F1298" s="44"/>
      <c r="G1298" s="44">
        <v>221</v>
      </c>
      <c r="H1298" s="44">
        <v>224</v>
      </c>
      <c r="I1298" s="44">
        <v>224</v>
      </c>
      <c r="J1298" s="44"/>
      <c r="K1298" s="44">
        <v>224</v>
      </c>
      <c r="L1298" s="44">
        <f>SUM(L1299,L1304,L1306)</f>
        <v>9</v>
      </c>
      <c r="M1298" s="44">
        <f aca="true" t="shared" si="56" ref="M1298:S1298">SUM(M1299,M1304,M1306)</f>
        <v>1</v>
      </c>
      <c r="N1298" s="44" t="s">
        <v>556</v>
      </c>
      <c r="O1298" s="44">
        <f t="shared" si="56"/>
        <v>3</v>
      </c>
      <c r="P1298" s="44">
        <f t="shared" si="56"/>
        <v>2</v>
      </c>
      <c r="Q1298" s="258">
        <f t="shared" si="56"/>
        <v>0</v>
      </c>
      <c r="R1298" s="99">
        <f t="shared" si="56"/>
        <v>0</v>
      </c>
      <c r="S1298" s="99">
        <f t="shared" si="56"/>
        <v>0</v>
      </c>
      <c r="T1298" s="56"/>
      <c r="U1298" s="56"/>
      <c r="V1298" s="56"/>
      <c r="W1298" s="56"/>
      <c r="X1298" s="56"/>
      <c r="Y1298" s="56"/>
      <c r="Z1298" s="56"/>
      <c r="AA1298" s="56"/>
      <c r="AB1298" s="56"/>
      <c r="AC1298" s="56"/>
      <c r="AD1298" s="56"/>
      <c r="AE1298" s="56"/>
      <c r="AF1298" s="56"/>
      <c r="AG1298" s="56"/>
      <c r="AH1298" s="56"/>
      <c r="AI1298" s="56"/>
      <c r="AJ1298" s="56"/>
      <c r="AK1298" s="56"/>
      <c r="AL1298" s="56"/>
      <c r="AM1298" s="56"/>
      <c r="AN1298" s="56"/>
      <c r="AO1298" s="56"/>
      <c r="AP1298" s="56"/>
      <c r="AQ1298" s="56"/>
      <c r="AR1298" s="56"/>
      <c r="AS1298" s="56"/>
      <c r="AT1298" s="56"/>
      <c r="AU1298" s="56"/>
      <c r="AV1298" s="56"/>
      <c r="AW1298" s="56"/>
      <c r="AX1298" s="56"/>
      <c r="AY1298" s="56"/>
      <c r="AZ1298" s="56"/>
      <c r="BA1298" s="56"/>
      <c r="BB1298" s="56"/>
      <c r="BC1298" s="56"/>
      <c r="BD1298" s="56"/>
      <c r="BE1298" s="56"/>
      <c r="BF1298" s="56"/>
      <c r="BG1298" s="56"/>
      <c r="BH1298" s="56"/>
      <c r="BI1298" s="56"/>
      <c r="BJ1298" s="56"/>
      <c r="BK1298" s="56"/>
      <c r="BL1298" s="56"/>
      <c r="BM1298" s="56"/>
      <c r="BN1298" s="56"/>
      <c r="BO1298" s="56"/>
      <c r="BP1298" s="56"/>
      <c r="BQ1298" s="56"/>
      <c r="BR1298" s="56"/>
      <c r="BS1298" s="56"/>
      <c r="BT1298" s="56"/>
      <c r="BU1298" s="56"/>
      <c r="BV1298" s="56"/>
      <c r="BW1298" s="56"/>
      <c r="BX1298" s="56"/>
      <c r="BY1298" s="56"/>
      <c r="BZ1298" s="56"/>
      <c r="CA1298" s="56"/>
      <c r="CB1298" s="56"/>
      <c r="CC1298" s="56"/>
      <c r="CD1298" s="56"/>
      <c r="CE1298" s="56"/>
      <c r="CF1298" s="56"/>
      <c r="CG1298" s="56"/>
      <c r="CH1298" s="56"/>
      <c r="CI1298" s="56"/>
      <c r="CJ1298" s="56"/>
      <c r="CK1298" s="56"/>
      <c r="CL1298" s="56"/>
      <c r="CM1298" s="56"/>
      <c r="CN1298" s="56"/>
      <c r="CO1298" s="56"/>
      <c r="CP1298" s="56"/>
      <c r="CQ1298" s="56"/>
      <c r="CR1298" s="56"/>
      <c r="CS1298" s="56"/>
      <c r="CT1298" s="56"/>
      <c r="CU1298" s="56"/>
      <c r="CV1298" s="56"/>
      <c r="CW1298" s="56"/>
      <c r="CX1298" s="56"/>
      <c r="CY1298" s="56"/>
      <c r="CZ1298" s="56"/>
      <c r="DA1298" s="56"/>
      <c r="DB1298" s="56"/>
      <c r="DC1298" s="56"/>
      <c r="DD1298" s="56"/>
      <c r="DE1298" s="56"/>
      <c r="DF1298" s="56"/>
      <c r="DG1298" s="56"/>
      <c r="DH1298" s="56"/>
      <c r="DI1298" s="56"/>
      <c r="DJ1298" s="56"/>
      <c r="DK1298" s="56"/>
      <c r="DL1298" s="56"/>
      <c r="DM1298" s="56"/>
      <c r="DN1298" s="56"/>
      <c r="DO1298" s="56"/>
      <c r="DP1298" s="56"/>
      <c r="DQ1298" s="56"/>
      <c r="DR1298" s="56"/>
      <c r="DS1298" s="56"/>
      <c r="DT1298" s="56"/>
      <c r="DU1298" s="56"/>
      <c r="DV1298" s="56"/>
      <c r="DW1298" s="56"/>
      <c r="DX1298" s="56"/>
      <c r="DY1298" s="56"/>
      <c r="DZ1298" s="56"/>
      <c r="EA1298" s="56"/>
      <c r="EB1298" s="56"/>
      <c r="EC1298" s="56"/>
      <c r="ED1298" s="56"/>
      <c r="EE1298" s="56"/>
      <c r="EF1298" s="56"/>
      <c r="EG1298" s="56"/>
      <c r="EH1298" s="56"/>
      <c r="EI1298" s="56"/>
      <c r="EJ1298" s="56"/>
      <c r="EK1298" s="56"/>
      <c r="EL1298" s="56"/>
      <c r="EM1298" s="56"/>
      <c r="EN1298" s="56"/>
      <c r="EO1298" s="56"/>
      <c r="EP1298" s="56"/>
      <c r="EQ1298" s="56"/>
      <c r="ER1298" s="56"/>
      <c r="ES1298" s="56"/>
      <c r="ET1298" s="56"/>
      <c r="EU1298" s="56"/>
      <c r="EV1298" s="56"/>
      <c r="EW1298" s="56"/>
      <c r="EX1298" s="56"/>
      <c r="EY1298" s="56"/>
      <c r="EZ1298" s="56"/>
      <c r="FA1298" s="56"/>
      <c r="FB1298" s="56"/>
      <c r="FC1298" s="56"/>
      <c r="FD1298" s="56"/>
      <c r="FE1298" s="56"/>
      <c r="FF1298" s="56"/>
      <c r="FG1298" s="56"/>
      <c r="FH1298" s="56"/>
      <c r="FI1298" s="56"/>
      <c r="FJ1298" s="56"/>
      <c r="FK1298" s="56"/>
      <c r="FL1298" s="56"/>
      <c r="FM1298" s="56"/>
      <c r="FN1298" s="56"/>
      <c r="FO1298" s="56"/>
      <c r="FP1298" s="56"/>
      <c r="FQ1298" s="56"/>
      <c r="FR1298" s="56"/>
      <c r="FS1298" s="56"/>
      <c r="FT1298" s="56"/>
      <c r="FU1298" s="56"/>
      <c r="FV1298" s="56"/>
      <c r="FW1298" s="56"/>
      <c r="FX1298" s="56"/>
      <c r="FY1298" s="56"/>
      <c r="FZ1298" s="56"/>
      <c r="GA1298" s="56"/>
      <c r="GB1298" s="56"/>
      <c r="GC1298" s="56"/>
      <c r="GD1298" s="56"/>
      <c r="GE1298" s="56"/>
      <c r="GF1298" s="56"/>
    </row>
    <row r="1299" spans="1:57" s="43" customFormat="1" ht="15.75">
      <c r="A1299" s="13"/>
      <c r="B1299" s="93" t="s">
        <v>669</v>
      </c>
      <c r="C1299" s="15"/>
      <c r="D1299" s="40"/>
      <c r="E1299" s="40"/>
      <c r="F1299" s="40"/>
      <c r="G1299" s="40"/>
      <c r="H1299" s="40"/>
      <c r="I1299" s="40"/>
      <c r="J1299" s="40"/>
      <c r="K1299" s="40"/>
      <c r="L1299" s="60">
        <f>SUM(L1300:L1303)</f>
        <v>6</v>
      </c>
      <c r="M1299" s="60">
        <f>SUM(M1300:M1303)</f>
        <v>1</v>
      </c>
      <c r="N1299" s="60" t="s">
        <v>556</v>
      </c>
      <c r="O1299" s="60">
        <f>SUM(O1300:O1303)</f>
        <v>2</v>
      </c>
      <c r="P1299" s="60">
        <f>SUM(P1300:P1303)</f>
        <v>1</v>
      </c>
      <c r="Q1299" s="70"/>
      <c r="R1299" s="41"/>
      <c r="S1299" s="41"/>
      <c r="T1299" s="46"/>
      <c r="U1299" s="46"/>
      <c r="V1299" s="46"/>
      <c r="W1299" s="46"/>
      <c r="X1299" s="46"/>
      <c r="Y1299" s="46"/>
      <c r="Z1299" s="46"/>
      <c r="AA1299" s="46"/>
      <c r="AB1299" s="46"/>
      <c r="AC1299" s="46"/>
      <c r="AD1299" s="46"/>
      <c r="AE1299" s="46"/>
      <c r="AF1299" s="46"/>
      <c r="AG1299" s="46"/>
      <c r="AH1299" s="46"/>
      <c r="AI1299" s="46"/>
      <c r="AJ1299" s="46"/>
      <c r="AK1299" s="46"/>
      <c r="AL1299" s="46"/>
      <c r="AM1299" s="46"/>
      <c r="AN1299" s="46"/>
      <c r="AO1299" s="46"/>
      <c r="AP1299" s="46"/>
      <c r="AQ1299" s="46"/>
      <c r="AR1299" s="46"/>
      <c r="AS1299" s="46"/>
      <c r="AT1299" s="46"/>
      <c r="AU1299" s="46"/>
      <c r="AV1299" s="46"/>
      <c r="BA1299" s="49"/>
      <c r="BB1299" s="42"/>
      <c r="BC1299" s="42"/>
      <c r="BD1299" s="42"/>
      <c r="BE1299" s="42"/>
    </row>
    <row r="1300" spans="1:57" s="43" customFormat="1" ht="17.25" customHeight="1">
      <c r="A1300" s="13"/>
      <c r="B1300" s="97" t="s">
        <v>1351</v>
      </c>
      <c r="C1300" s="15" t="s">
        <v>1352</v>
      </c>
      <c r="D1300" s="40"/>
      <c r="E1300" s="40"/>
      <c r="F1300" s="40"/>
      <c r="G1300" s="40"/>
      <c r="H1300" s="40"/>
      <c r="I1300" s="40"/>
      <c r="J1300" s="40"/>
      <c r="K1300" s="40"/>
      <c r="L1300" s="40">
        <v>1</v>
      </c>
      <c r="M1300" s="40" t="s">
        <v>556</v>
      </c>
      <c r="N1300" s="40" t="s">
        <v>556</v>
      </c>
      <c r="O1300" s="40" t="s">
        <v>556</v>
      </c>
      <c r="P1300" s="40">
        <v>1</v>
      </c>
      <c r="Q1300" s="70"/>
      <c r="R1300" s="41"/>
      <c r="S1300" s="41"/>
      <c r="T1300" s="46"/>
      <c r="U1300" s="46"/>
      <c r="V1300" s="46"/>
      <c r="W1300" s="46"/>
      <c r="X1300" s="46"/>
      <c r="Y1300" s="46"/>
      <c r="Z1300" s="46"/>
      <c r="AA1300" s="46"/>
      <c r="AB1300" s="46"/>
      <c r="AC1300" s="46"/>
      <c r="AD1300" s="46"/>
      <c r="AE1300" s="46"/>
      <c r="AF1300" s="46"/>
      <c r="AG1300" s="46"/>
      <c r="AH1300" s="46"/>
      <c r="AI1300" s="46"/>
      <c r="AJ1300" s="46"/>
      <c r="AK1300" s="46"/>
      <c r="AL1300" s="46"/>
      <c r="AM1300" s="46"/>
      <c r="AN1300" s="46"/>
      <c r="AO1300" s="46"/>
      <c r="AP1300" s="46"/>
      <c r="AQ1300" s="46"/>
      <c r="AR1300" s="46"/>
      <c r="AS1300" s="46"/>
      <c r="AT1300" s="46"/>
      <c r="AU1300" s="46"/>
      <c r="AV1300" s="46"/>
      <c r="BA1300" s="49"/>
      <c r="BB1300" s="42"/>
      <c r="BC1300" s="42"/>
      <c r="BD1300" s="42"/>
      <c r="BE1300" s="42"/>
    </row>
    <row r="1301" spans="1:48" s="43" customFormat="1" ht="15.75" customHeight="1">
      <c r="A1301" s="13"/>
      <c r="B1301" s="97" t="s">
        <v>1343</v>
      </c>
      <c r="C1301" s="29" t="s">
        <v>1344</v>
      </c>
      <c r="D1301" s="40"/>
      <c r="E1301" s="40"/>
      <c r="F1301" s="40"/>
      <c r="G1301" s="40"/>
      <c r="H1301" s="40"/>
      <c r="I1301" s="40"/>
      <c r="J1301" s="40"/>
      <c r="K1301" s="40"/>
      <c r="L1301" s="40">
        <v>2</v>
      </c>
      <c r="M1301" s="40">
        <v>1</v>
      </c>
      <c r="N1301" s="40" t="s">
        <v>556</v>
      </c>
      <c r="O1301" s="40">
        <v>2</v>
      </c>
      <c r="P1301" s="40" t="s">
        <v>556</v>
      </c>
      <c r="Q1301" s="69"/>
      <c r="R1301" s="69"/>
      <c r="S1301" s="69"/>
      <c r="T1301" s="46"/>
      <c r="U1301" s="46"/>
      <c r="V1301" s="46"/>
      <c r="W1301" s="46"/>
      <c r="X1301" s="46"/>
      <c r="Y1301" s="46"/>
      <c r="Z1301" s="46"/>
      <c r="AA1301" s="46"/>
      <c r="AB1301" s="46"/>
      <c r="AC1301" s="46"/>
      <c r="AD1301" s="46"/>
      <c r="AE1301" s="46"/>
      <c r="AF1301" s="46"/>
      <c r="AG1301" s="46"/>
      <c r="AH1301" s="46"/>
      <c r="AI1301" s="46"/>
      <c r="AJ1301" s="46"/>
      <c r="AK1301" s="46"/>
      <c r="AL1301" s="46"/>
      <c r="AM1301" s="46"/>
      <c r="AN1301" s="46"/>
      <c r="AO1301" s="46"/>
      <c r="AP1301" s="46"/>
      <c r="AQ1301" s="46"/>
      <c r="AR1301" s="46"/>
      <c r="AS1301" s="46"/>
      <c r="AT1301" s="46"/>
      <c r="AU1301" s="46"/>
      <c r="AV1301" s="46"/>
    </row>
    <row r="1302" spans="1:48" s="43" customFormat="1" ht="15.75" customHeight="1">
      <c r="A1302" s="13"/>
      <c r="B1302" s="97" t="s">
        <v>629</v>
      </c>
      <c r="C1302" s="15" t="s">
        <v>787</v>
      </c>
      <c r="D1302" s="40"/>
      <c r="E1302" s="40"/>
      <c r="F1302" s="40"/>
      <c r="G1302" s="40"/>
      <c r="H1302" s="40"/>
      <c r="I1302" s="40"/>
      <c r="J1302" s="40"/>
      <c r="K1302" s="40"/>
      <c r="L1302" s="40">
        <v>2</v>
      </c>
      <c r="M1302" s="40" t="s">
        <v>556</v>
      </c>
      <c r="N1302" s="40" t="s">
        <v>556</v>
      </c>
      <c r="O1302" s="40" t="s">
        <v>556</v>
      </c>
      <c r="P1302" s="40" t="s">
        <v>556</v>
      </c>
      <c r="Q1302" s="69"/>
      <c r="R1302" s="69"/>
      <c r="S1302" s="69"/>
      <c r="T1302" s="46"/>
      <c r="U1302" s="46"/>
      <c r="V1302" s="46"/>
      <c r="W1302" s="46"/>
      <c r="X1302" s="46"/>
      <c r="Y1302" s="46"/>
      <c r="Z1302" s="46"/>
      <c r="AA1302" s="46"/>
      <c r="AB1302" s="46"/>
      <c r="AC1302" s="46"/>
      <c r="AD1302" s="46"/>
      <c r="AE1302" s="46"/>
      <c r="AF1302" s="46"/>
      <c r="AG1302" s="46"/>
      <c r="AH1302" s="46"/>
      <c r="AI1302" s="46"/>
      <c r="AJ1302" s="46"/>
      <c r="AK1302" s="46"/>
      <c r="AL1302" s="46"/>
      <c r="AM1302" s="46"/>
      <c r="AN1302" s="46"/>
      <c r="AO1302" s="46"/>
      <c r="AP1302" s="46"/>
      <c r="AQ1302" s="46"/>
      <c r="AR1302" s="46"/>
      <c r="AS1302" s="46"/>
      <c r="AT1302" s="46"/>
      <c r="AU1302" s="46"/>
      <c r="AV1302" s="46"/>
    </row>
    <row r="1303" spans="1:57" s="43" customFormat="1" ht="17.25" customHeight="1">
      <c r="A1303" s="13"/>
      <c r="B1303" s="97" t="s">
        <v>562</v>
      </c>
      <c r="C1303" s="29" t="s">
        <v>563</v>
      </c>
      <c r="D1303" s="40"/>
      <c r="E1303" s="40"/>
      <c r="F1303" s="40"/>
      <c r="G1303" s="40"/>
      <c r="H1303" s="40"/>
      <c r="I1303" s="40"/>
      <c r="J1303" s="40"/>
      <c r="K1303" s="40"/>
      <c r="L1303" s="40">
        <v>1</v>
      </c>
      <c r="M1303" s="40" t="s">
        <v>556</v>
      </c>
      <c r="N1303" s="40" t="s">
        <v>556</v>
      </c>
      <c r="O1303" s="40" t="s">
        <v>556</v>
      </c>
      <c r="P1303" s="40" t="s">
        <v>556</v>
      </c>
      <c r="Q1303" s="70"/>
      <c r="R1303" s="41"/>
      <c r="S1303" s="41"/>
      <c r="T1303" s="46"/>
      <c r="U1303" s="46"/>
      <c r="V1303" s="46"/>
      <c r="W1303" s="46"/>
      <c r="X1303" s="46"/>
      <c r="Y1303" s="46"/>
      <c r="Z1303" s="46"/>
      <c r="AA1303" s="46"/>
      <c r="AB1303" s="46"/>
      <c r="AC1303" s="46"/>
      <c r="AD1303" s="46"/>
      <c r="AE1303" s="46"/>
      <c r="AF1303" s="46"/>
      <c r="AG1303" s="46"/>
      <c r="AH1303" s="46"/>
      <c r="AI1303" s="46"/>
      <c r="AJ1303" s="46"/>
      <c r="AK1303" s="46"/>
      <c r="AL1303" s="46"/>
      <c r="AM1303" s="46"/>
      <c r="AN1303" s="46"/>
      <c r="AO1303" s="46"/>
      <c r="AP1303" s="46"/>
      <c r="AQ1303" s="46"/>
      <c r="AR1303" s="46"/>
      <c r="AS1303" s="46"/>
      <c r="AT1303" s="46"/>
      <c r="AU1303" s="46"/>
      <c r="AV1303" s="46"/>
      <c r="BA1303" s="49"/>
      <c r="BB1303" s="42"/>
      <c r="BC1303" s="42"/>
      <c r="BD1303" s="42"/>
      <c r="BE1303" s="42"/>
    </row>
    <row r="1304" spans="1:57" s="43" customFormat="1" ht="15.75">
      <c r="A1304" s="13"/>
      <c r="B1304" s="104" t="s">
        <v>670</v>
      </c>
      <c r="C1304" s="15"/>
      <c r="D1304" s="223"/>
      <c r="E1304" s="223"/>
      <c r="F1304" s="223"/>
      <c r="G1304" s="223"/>
      <c r="H1304" s="223"/>
      <c r="I1304" s="223"/>
      <c r="J1304" s="223"/>
      <c r="K1304" s="223"/>
      <c r="L1304" s="122">
        <v>1</v>
      </c>
      <c r="M1304" s="122" t="s">
        <v>556</v>
      </c>
      <c r="N1304" s="122" t="s">
        <v>556</v>
      </c>
      <c r="O1304" s="122">
        <v>1</v>
      </c>
      <c r="P1304" s="122" t="s">
        <v>556</v>
      </c>
      <c r="Q1304" s="70"/>
      <c r="R1304" s="41"/>
      <c r="S1304" s="41"/>
      <c r="T1304" s="46"/>
      <c r="U1304" s="46"/>
      <c r="V1304" s="46"/>
      <c r="W1304" s="46"/>
      <c r="X1304" s="46"/>
      <c r="Y1304" s="46"/>
      <c r="Z1304" s="46"/>
      <c r="AA1304" s="46"/>
      <c r="AB1304" s="46"/>
      <c r="AC1304" s="46"/>
      <c r="AD1304" s="46"/>
      <c r="AE1304" s="46"/>
      <c r="AF1304" s="46"/>
      <c r="AG1304" s="46"/>
      <c r="AH1304" s="46"/>
      <c r="AI1304" s="46"/>
      <c r="AJ1304" s="46"/>
      <c r="AK1304" s="46"/>
      <c r="AL1304" s="46"/>
      <c r="AM1304" s="46"/>
      <c r="AN1304" s="46"/>
      <c r="AO1304" s="46"/>
      <c r="AP1304" s="46"/>
      <c r="AQ1304" s="46"/>
      <c r="AR1304" s="46"/>
      <c r="AS1304" s="46"/>
      <c r="AT1304" s="46"/>
      <c r="AU1304" s="46"/>
      <c r="AV1304" s="46"/>
      <c r="BA1304" s="49"/>
      <c r="BB1304" s="42"/>
      <c r="BC1304" s="42"/>
      <c r="BD1304" s="42"/>
      <c r="BE1304" s="42"/>
    </row>
    <row r="1305" spans="1:57" s="43" customFormat="1" ht="18" customHeight="1">
      <c r="A1305" s="13"/>
      <c r="B1305" s="97" t="s">
        <v>561</v>
      </c>
      <c r="C1305" s="66" t="s">
        <v>804</v>
      </c>
      <c r="D1305" s="40"/>
      <c r="E1305" s="40"/>
      <c r="F1305" s="40"/>
      <c r="G1305" s="40"/>
      <c r="H1305" s="40"/>
      <c r="I1305" s="40"/>
      <c r="J1305" s="40"/>
      <c r="K1305" s="40"/>
      <c r="L1305" s="40">
        <v>1</v>
      </c>
      <c r="M1305" s="40" t="s">
        <v>556</v>
      </c>
      <c r="N1305" s="40" t="s">
        <v>556</v>
      </c>
      <c r="O1305" s="40">
        <v>1</v>
      </c>
      <c r="P1305" s="40" t="s">
        <v>556</v>
      </c>
      <c r="Q1305" s="70"/>
      <c r="R1305" s="41"/>
      <c r="S1305" s="41"/>
      <c r="T1305" s="46"/>
      <c r="U1305" s="46"/>
      <c r="V1305" s="46"/>
      <c r="W1305" s="46"/>
      <c r="X1305" s="46"/>
      <c r="Y1305" s="46"/>
      <c r="Z1305" s="46"/>
      <c r="AA1305" s="46"/>
      <c r="AB1305" s="46"/>
      <c r="AC1305" s="46"/>
      <c r="AD1305" s="46"/>
      <c r="AE1305" s="46"/>
      <c r="AF1305" s="46"/>
      <c r="AG1305" s="46"/>
      <c r="AH1305" s="46"/>
      <c r="AI1305" s="46"/>
      <c r="AJ1305" s="46"/>
      <c r="AK1305" s="46"/>
      <c r="AL1305" s="46"/>
      <c r="AM1305" s="46"/>
      <c r="AN1305" s="46"/>
      <c r="AO1305" s="46"/>
      <c r="AP1305" s="46"/>
      <c r="AQ1305" s="46"/>
      <c r="AR1305" s="46"/>
      <c r="AS1305" s="46"/>
      <c r="AT1305" s="46"/>
      <c r="AU1305" s="46"/>
      <c r="AV1305" s="46"/>
      <c r="BA1305" s="49"/>
      <c r="BB1305" s="42"/>
      <c r="BC1305" s="42"/>
      <c r="BD1305" s="42"/>
      <c r="BE1305" s="42"/>
    </row>
    <row r="1306" spans="1:57" s="43" customFormat="1" ht="15.75">
      <c r="A1306" s="13"/>
      <c r="B1306" s="104" t="s">
        <v>37</v>
      </c>
      <c r="C1306" s="15"/>
      <c r="D1306" s="223"/>
      <c r="E1306" s="223"/>
      <c r="F1306" s="223"/>
      <c r="G1306" s="223"/>
      <c r="H1306" s="223"/>
      <c r="I1306" s="223"/>
      <c r="J1306" s="223"/>
      <c r="K1306" s="223"/>
      <c r="L1306" s="122">
        <v>2</v>
      </c>
      <c r="M1306" s="122" t="s">
        <v>556</v>
      </c>
      <c r="N1306" s="122" t="s">
        <v>556</v>
      </c>
      <c r="O1306" s="122" t="s">
        <v>556</v>
      </c>
      <c r="P1306" s="122">
        <v>1</v>
      </c>
      <c r="Q1306" s="70"/>
      <c r="R1306" s="41"/>
      <c r="S1306" s="41"/>
      <c r="T1306" s="46"/>
      <c r="U1306" s="46"/>
      <c r="V1306" s="46"/>
      <c r="W1306" s="46"/>
      <c r="X1306" s="46"/>
      <c r="Y1306" s="46"/>
      <c r="Z1306" s="46"/>
      <c r="AA1306" s="46"/>
      <c r="AB1306" s="46"/>
      <c r="AC1306" s="46"/>
      <c r="AD1306" s="46"/>
      <c r="AE1306" s="46"/>
      <c r="AF1306" s="46"/>
      <c r="AG1306" s="46"/>
      <c r="AH1306" s="46"/>
      <c r="AI1306" s="46"/>
      <c r="AJ1306" s="46"/>
      <c r="AK1306" s="46"/>
      <c r="AL1306" s="46"/>
      <c r="AM1306" s="46"/>
      <c r="AN1306" s="46"/>
      <c r="AO1306" s="46"/>
      <c r="AP1306" s="46"/>
      <c r="AQ1306" s="46"/>
      <c r="AR1306" s="46"/>
      <c r="AS1306" s="46"/>
      <c r="AT1306" s="46"/>
      <c r="AU1306" s="46"/>
      <c r="AV1306" s="46"/>
      <c r="BA1306" s="49"/>
      <c r="BB1306" s="42"/>
      <c r="BC1306" s="42"/>
      <c r="BD1306" s="42"/>
      <c r="BE1306" s="42"/>
    </row>
    <row r="1307" spans="1:48" s="43" customFormat="1" ht="15.75" customHeight="1">
      <c r="A1307" s="13"/>
      <c r="B1307" s="106" t="s">
        <v>1045</v>
      </c>
      <c r="C1307" s="66" t="s">
        <v>1046</v>
      </c>
      <c r="D1307" s="40"/>
      <c r="E1307" s="40"/>
      <c r="F1307" s="40" t="s">
        <v>556</v>
      </c>
      <c r="G1307" s="40">
        <v>2</v>
      </c>
      <c r="H1307" s="40">
        <v>2</v>
      </c>
      <c r="I1307" s="40">
        <v>3</v>
      </c>
      <c r="J1307" s="40"/>
      <c r="K1307" s="40">
        <v>3</v>
      </c>
      <c r="L1307" s="40">
        <v>1</v>
      </c>
      <c r="M1307" s="40" t="s">
        <v>556</v>
      </c>
      <c r="N1307" s="40" t="s">
        <v>556</v>
      </c>
      <c r="O1307" s="40" t="s">
        <v>556</v>
      </c>
      <c r="P1307" s="40" t="s">
        <v>556</v>
      </c>
      <c r="Q1307" s="69"/>
      <c r="R1307" s="69"/>
      <c r="S1307" s="69"/>
      <c r="T1307" s="46"/>
      <c r="U1307" s="46"/>
      <c r="V1307" s="46"/>
      <c r="W1307" s="46"/>
      <c r="X1307" s="46"/>
      <c r="Y1307" s="46"/>
      <c r="Z1307" s="46"/>
      <c r="AA1307" s="46"/>
      <c r="AB1307" s="46"/>
      <c r="AC1307" s="46"/>
      <c r="AD1307" s="46"/>
      <c r="AE1307" s="46"/>
      <c r="AF1307" s="46"/>
      <c r="AG1307" s="46"/>
      <c r="AH1307" s="46"/>
      <c r="AI1307" s="46"/>
      <c r="AJ1307" s="46"/>
      <c r="AK1307" s="46"/>
      <c r="AL1307" s="46"/>
      <c r="AM1307" s="46"/>
      <c r="AN1307" s="46"/>
      <c r="AO1307" s="46"/>
      <c r="AP1307" s="46"/>
      <c r="AQ1307" s="46"/>
      <c r="AR1307" s="46"/>
      <c r="AS1307" s="46"/>
      <c r="AT1307" s="46"/>
      <c r="AU1307" s="46"/>
      <c r="AV1307" s="46"/>
    </row>
    <row r="1308" spans="1:48" s="43" customFormat="1" ht="15.75" customHeight="1">
      <c r="A1308" s="13"/>
      <c r="B1308" s="111" t="s">
        <v>862</v>
      </c>
      <c r="C1308" s="15" t="s">
        <v>863</v>
      </c>
      <c r="D1308" s="40"/>
      <c r="E1308" s="40"/>
      <c r="F1308" s="40"/>
      <c r="G1308" s="40"/>
      <c r="H1308" s="40"/>
      <c r="I1308" s="40"/>
      <c r="J1308" s="40"/>
      <c r="K1308" s="40"/>
      <c r="L1308" s="40">
        <v>1</v>
      </c>
      <c r="M1308" s="40" t="s">
        <v>556</v>
      </c>
      <c r="N1308" s="40" t="s">
        <v>556</v>
      </c>
      <c r="O1308" s="40" t="s">
        <v>556</v>
      </c>
      <c r="P1308" s="40" t="s">
        <v>556</v>
      </c>
      <c r="Q1308" s="69"/>
      <c r="R1308" s="69"/>
      <c r="S1308" s="69"/>
      <c r="T1308" s="46"/>
      <c r="U1308" s="46"/>
      <c r="V1308" s="46"/>
      <c r="W1308" s="46"/>
      <c r="X1308" s="46"/>
      <c r="Y1308" s="46"/>
      <c r="Z1308" s="46"/>
      <c r="AA1308" s="46"/>
      <c r="AB1308" s="46"/>
      <c r="AC1308" s="46"/>
      <c r="AD1308" s="46"/>
      <c r="AE1308" s="46"/>
      <c r="AF1308" s="46"/>
      <c r="AG1308" s="46"/>
      <c r="AH1308" s="46"/>
      <c r="AI1308" s="46"/>
      <c r="AJ1308" s="46"/>
      <c r="AK1308" s="46"/>
      <c r="AL1308" s="46"/>
      <c r="AM1308" s="46"/>
      <c r="AN1308" s="46"/>
      <c r="AO1308" s="46"/>
      <c r="AP1308" s="46"/>
      <c r="AQ1308" s="46"/>
      <c r="AR1308" s="46"/>
      <c r="AS1308" s="46"/>
      <c r="AT1308" s="46"/>
      <c r="AU1308" s="46"/>
      <c r="AV1308" s="46"/>
    </row>
    <row r="1309" spans="1:48" s="43" customFormat="1" ht="15.75" customHeight="1">
      <c r="A1309" s="13"/>
      <c r="B1309" s="97" t="s">
        <v>802</v>
      </c>
      <c r="C1309" s="66" t="s">
        <v>803</v>
      </c>
      <c r="D1309" s="40"/>
      <c r="E1309" s="40"/>
      <c r="F1309" s="40"/>
      <c r="G1309" s="40"/>
      <c r="H1309" s="40"/>
      <c r="I1309" s="40"/>
      <c r="J1309" s="40"/>
      <c r="K1309" s="40"/>
      <c r="L1309" s="40" t="s">
        <v>556</v>
      </c>
      <c r="M1309" s="40" t="s">
        <v>556</v>
      </c>
      <c r="N1309" s="40" t="s">
        <v>556</v>
      </c>
      <c r="O1309" s="40" t="s">
        <v>556</v>
      </c>
      <c r="P1309" s="40">
        <v>1</v>
      </c>
      <c r="Q1309" s="69"/>
      <c r="R1309" s="69"/>
      <c r="S1309" s="69"/>
      <c r="T1309" s="46"/>
      <c r="U1309" s="46"/>
      <c r="V1309" s="46"/>
      <c r="W1309" s="46"/>
      <c r="X1309" s="46"/>
      <c r="Y1309" s="46"/>
      <c r="Z1309" s="46"/>
      <c r="AA1309" s="46"/>
      <c r="AB1309" s="46"/>
      <c r="AC1309" s="46"/>
      <c r="AD1309" s="46"/>
      <c r="AE1309" s="46"/>
      <c r="AF1309" s="46"/>
      <c r="AG1309" s="46"/>
      <c r="AH1309" s="46"/>
      <c r="AI1309" s="46"/>
      <c r="AJ1309" s="46"/>
      <c r="AK1309" s="46"/>
      <c r="AL1309" s="46"/>
      <c r="AM1309" s="46"/>
      <c r="AN1309" s="46"/>
      <c r="AO1309" s="46"/>
      <c r="AP1309" s="46"/>
      <c r="AQ1309" s="46"/>
      <c r="AR1309" s="46"/>
      <c r="AS1309" s="46"/>
      <c r="AT1309" s="46"/>
      <c r="AU1309" s="46"/>
      <c r="AV1309" s="46"/>
    </row>
    <row r="1310" spans="1:19" ht="15" customHeight="1">
      <c r="A1310" s="399" t="s">
        <v>662</v>
      </c>
      <c r="B1310" s="399"/>
      <c r="C1310" s="399"/>
      <c r="D1310" s="399"/>
      <c r="E1310" s="399"/>
      <c r="F1310" s="399"/>
      <c r="G1310" s="399"/>
      <c r="H1310" s="399"/>
      <c r="I1310" s="399"/>
      <c r="J1310" s="399"/>
      <c r="K1310" s="399"/>
      <c r="L1310" s="399"/>
      <c r="M1310" s="399"/>
      <c r="N1310" s="399"/>
      <c r="O1310" s="399"/>
      <c r="P1310" s="399"/>
      <c r="Q1310" s="20"/>
      <c r="R1310" s="20"/>
      <c r="S1310" s="7"/>
    </row>
    <row r="1311" spans="1:19" ht="13.5" customHeight="1">
      <c r="A1311" s="400" t="s">
        <v>909</v>
      </c>
      <c r="B1311" s="400"/>
      <c r="C1311" s="400"/>
      <c r="D1311" s="400"/>
      <c r="E1311" s="400"/>
      <c r="F1311" s="400"/>
      <c r="G1311" s="400"/>
      <c r="H1311" s="400"/>
      <c r="I1311" s="400"/>
      <c r="J1311" s="400"/>
      <c r="K1311" s="400"/>
      <c r="L1311" s="400"/>
      <c r="M1311" s="400"/>
      <c r="N1311" s="400"/>
      <c r="O1311" s="400"/>
      <c r="P1311" s="400"/>
      <c r="Q1311" s="21"/>
      <c r="R1311" s="21"/>
      <c r="S1311" s="8"/>
    </row>
    <row r="1312" spans="1:188" s="57" customFormat="1" ht="16.5" customHeight="1">
      <c r="A1312" s="13">
        <v>65</v>
      </c>
      <c r="B1312" s="92" t="s">
        <v>753</v>
      </c>
      <c r="C1312" s="45"/>
      <c r="D1312" s="44">
        <v>89</v>
      </c>
      <c r="E1312" s="44">
        <v>3</v>
      </c>
      <c r="F1312" s="44">
        <v>41</v>
      </c>
      <c r="G1312" s="44">
        <v>91</v>
      </c>
      <c r="H1312" s="44">
        <v>91</v>
      </c>
      <c r="I1312" s="44">
        <v>91</v>
      </c>
      <c r="J1312" s="44">
        <v>91</v>
      </c>
      <c r="K1312" s="44">
        <v>91</v>
      </c>
      <c r="L1312" s="44">
        <v>2</v>
      </c>
      <c r="M1312" s="44" t="s">
        <v>556</v>
      </c>
      <c r="N1312" s="44" t="s">
        <v>556</v>
      </c>
      <c r="O1312" s="44" t="s">
        <v>556</v>
      </c>
      <c r="P1312" s="44" t="s">
        <v>556</v>
      </c>
      <c r="Q1312" s="54" t="s">
        <v>649</v>
      </c>
      <c r="R1312" s="54">
        <v>3</v>
      </c>
      <c r="S1312" s="55" t="s">
        <v>1339</v>
      </c>
      <c r="T1312" s="56"/>
      <c r="U1312" s="56"/>
      <c r="V1312" s="56"/>
      <c r="W1312" s="56"/>
      <c r="X1312" s="56"/>
      <c r="Y1312" s="56"/>
      <c r="Z1312" s="56"/>
      <c r="AA1312" s="56"/>
      <c r="AB1312" s="56"/>
      <c r="AC1312" s="56"/>
      <c r="AD1312" s="56"/>
      <c r="AE1312" s="56"/>
      <c r="AF1312" s="56"/>
      <c r="AG1312" s="56"/>
      <c r="AH1312" s="56"/>
      <c r="AI1312" s="56"/>
      <c r="AJ1312" s="56"/>
      <c r="AK1312" s="56"/>
      <c r="AL1312" s="56"/>
      <c r="AM1312" s="56"/>
      <c r="AN1312" s="56"/>
      <c r="AO1312" s="56"/>
      <c r="AP1312" s="56"/>
      <c r="AQ1312" s="56"/>
      <c r="AR1312" s="56"/>
      <c r="AS1312" s="56"/>
      <c r="AT1312" s="56"/>
      <c r="AU1312" s="56"/>
      <c r="AV1312" s="56"/>
      <c r="AW1312" s="56"/>
      <c r="AX1312" s="56"/>
      <c r="AY1312" s="56"/>
      <c r="AZ1312" s="56"/>
      <c r="BA1312" s="56"/>
      <c r="BB1312" s="56"/>
      <c r="BC1312" s="56"/>
      <c r="BD1312" s="56"/>
      <c r="BE1312" s="56"/>
      <c r="BF1312" s="56"/>
      <c r="BG1312" s="56"/>
      <c r="BH1312" s="56"/>
      <c r="BI1312" s="56"/>
      <c r="BJ1312" s="56"/>
      <c r="BK1312" s="56"/>
      <c r="BL1312" s="56"/>
      <c r="BM1312" s="56"/>
      <c r="BN1312" s="56"/>
      <c r="BO1312" s="56"/>
      <c r="BP1312" s="56"/>
      <c r="BQ1312" s="56"/>
      <c r="BR1312" s="56"/>
      <c r="BS1312" s="56"/>
      <c r="BT1312" s="56"/>
      <c r="BU1312" s="56"/>
      <c r="BV1312" s="56"/>
      <c r="BW1312" s="56"/>
      <c r="BX1312" s="56"/>
      <c r="BY1312" s="56"/>
      <c r="BZ1312" s="56"/>
      <c r="CA1312" s="56"/>
      <c r="CB1312" s="56"/>
      <c r="CC1312" s="56"/>
      <c r="CD1312" s="56"/>
      <c r="CE1312" s="56"/>
      <c r="CF1312" s="56"/>
      <c r="CG1312" s="56"/>
      <c r="CH1312" s="56"/>
      <c r="CI1312" s="56"/>
      <c r="CJ1312" s="56"/>
      <c r="CK1312" s="56"/>
      <c r="CL1312" s="56"/>
      <c r="CM1312" s="56"/>
      <c r="CN1312" s="56"/>
      <c r="CO1312" s="56"/>
      <c r="CP1312" s="56"/>
      <c r="CQ1312" s="56"/>
      <c r="CR1312" s="56"/>
      <c r="CS1312" s="56"/>
      <c r="CT1312" s="56"/>
      <c r="CU1312" s="56"/>
      <c r="CV1312" s="56"/>
      <c r="CW1312" s="56"/>
      <c r="CX1312" s="56"/>
      <c r="CY1312" s="56"/>
      <c r="CZ1312" s="56"/>
      <c r="DA1312" s="56"/>
      <c r="DB1312" s="56"/>
      <c r="DC1312" s="56"/>
      <c r="DD1312" s="56"/>
      <c r="DE1312" s="56"/>
      <c r="DF1312" s="56"/>
      <c r="DG1312" s="56"/>
      <c r="DH1312" s="56"/>
      <c r="DI1312" s="56"/>
      <c r="DJ1312" s="56"/>
      <c r="DK1312" s="56"/>
      <c r="DL1312" s="56"/>
      <c r="DM1312" s="56"/>
      <c r="DN1312" s="56"/>
      <c r="DO1312" s="56"/>
      <c r="DP1312" s="56"/>
      <c r="DQ1312" s="56"/>
      <c r="DR1312" s="56"/>
      <c r="DS1312" s="56"/>
      <c r="DT1312" s="56"/>
      <c r="DU1312" s="56"/>
      <c r="DV1312" s="56"/>
      <c r="DW1312" s="56"/>
      <c r="DX1312" s="56"/>
      <c r="DY1312" s="56"/>
      <c r="DZ1312" s="56"/>
      <c r="EA1312" s="56"/>
      <c r="EB1312" s="56"/>
      <c r="EC1312" s="56"/>
      <c r="ED1312" s="56"/>
      <c r="EE1312" s="56"/>
      <c r="EF1312" s="56"/>
      <c r="EG1312" s="56"/>
      <c r="EH1312" s="56"/>
      <c r="EI1312" s="56"/>
      <c r="EJ1312" s="56"/>
      <c r="EK1312" s="56"/>
      <c r="EL1312" s="56"/>
      <c r="EM1312" s="56"/>
      <c r="EN1312" s="56"/>
      <c r="EO1312" s="56"/>
      <c r="EP1312" s="56"/>
      <c r="EQ1312" s="56"/>
      <c r="ER1312" s="56"/>
      <c r="ES1312" s="56"/>
      <c r="ET1312" s="56"/>
      <c r="EU1312" s="56"/>
      <c r="EV1312" s="56"/>
      <c r="EW1312" s="56"/>
      <c r="EX1312" s="56"/>
      <c r="EY1312" s="56"/>
      <c r="EZ1312" s="56"/>
      <c r="FA1312" s="56"/>
      <c r="FB1312" s="56"/>
      <c r="FC1312" s="56"/>
      <c r="FD1312" s="56"/>
      <c r="FE1312" s="56"/>
      <c r="FF1312" s="56"/>
      <c r="FG1312" s="56"/>
      <c r="FH1312" s="56"/>
      <c r="FI1312" s="56"/>
      <c r="FJ1312" s="56"/>
      <c r="FK1312" s="56"/>
      <c r="FL1312" s="56"/>
      <c r="FM1312" s="56"/>
      <c r="FN1312" s="56"/>
      <c r="FO1312" s="56"/>
      <c r="FP1312" s="56"/>
      <c r="FQ1312" s="56"/>
      <c r="FR1312" s="56"/>
      <c r="FS1312" s="56"/>
      <c r="FT1312" s="56"/>
      <c r="FU1312" s="56"/>
      <c r="FV1312" s="56"/>
      <c r="FW1312" s="56"/>
      <c r="FX1312" s="56"/>
      <c r="FY1312" s="56"/>
      <c r="FZ1312" s="56"/>
      <c r="GA1312" s="56"/>
      <c r="GB1312" s="56"/>
      <c r="GC1312" s="56"/>
      <c r="GD1312" s="56"/>
      <c r="GE1312" s="56"/>
      <c r="GF1312" s="56"/>
    </row>
    <row r="1313" spans="1:48" s="18" customFormat="1" ht="16.5" customHeight="1">
      <c r="A1313" s="50"/>
      <c r="B1313" s="93" t="s">
        <v>669</v>
      </c>
      <c r="C1313" s="16"/>
      <c r="D1313" s="52"/>
      <c r="E1313" s="52"/>
      <c r="F1313" s="52"/>
      <c r="G1313" s="52"/>
      <c r="H1313" s="52"/>
      <c r="I1313" s="52"/>
      <c r="J1313" s="52"/>
      <c r="K1313" s="52"/>
      <c r="L1313" s="60">
        <v>1</v>
      </c>
      <c r="M1313" s="60" t="s">
        <v>556</v>
      </c>
      <c r="N1313" s="60" t="s">
        <v>556</v>
      </c>
      <c r="O1313" s="60" t="s">
        <v>556</v>
      </c>
      <c r="P1313" s="60" t="s">
        <v>556</v>
      </c>
      <c r="Q1313" s="23"/>
      <c r="R1313" s="23"/>
      <c r="S1313" s="17"/>
      <c r="T1313" s="47"/>
      <c r="U1313" s="47"/>
      <c r="V1313" s="47"/>
      <c r="W1313" s="47"/>
      <c r="X1313" s="47"/>
      <c r="Y1313" s="47"/>
      <c r="Z1313" s="47"/>
      <c r="AA1313" s="47"/>
      <c r="AB1313" s="47"/>
      <c r="AC1313" s="47"/>
      <c r="AD1313" s="47"/>
      <c r="AE1313" s="47"/>
      <c r="AF1313" s="47"/>
      <c r="AG1313" s="47"/>
      <c r="AH1313" s="47"/>
      <c r="AI1313" s="47"/>
      <c r="AJ1313" s="47"/>
      <c r="AK1313" s="47"/>
      <c r="AL1313" s="47"/>
      <c r="AM1313" s="47"/>
      <c r="AN1313" s="47"/>
      <c r="AO1313" s="47"/>
      <c r="AP1313" s="47"/>
      <c r="AQ1313" s="47"/>
      <c r="AR1313" s="47"/>
      <c r="AS1313" s="47"/>
      <c r="AT1313" s="47"/>
      <c r="AU1313" s="47"/>
      <c r="AV1313" s="47"/>
    </row>
    <row r="1314" spans="1:48" s="27" customFormat="1" ht="16.5" customHeight="1">
      <c r="A1314" s="12"/>
      <c r="B1314" s="97" t="s">
        <v>562</v>
      </c>
      <c r="C1314" s="29" t="s">
        <v>563</v>
      </c>
      <c r="D1314" s="51"/>
      <c r="E1314" s="51"/>
      <c r="F1314" s="51">
        <v>2</v>
      </c>
      <c r="G1314" s="51">
        <v>1</v>
      </c>
      <c r="H1314" s="51">
        <v>1</v>
      </c>
      <c r="I1314" s="51">
        <v>1</v>
      </c>
      <c r="J1314" s="51">
        <v>1</v>
      </c>
      <c r="K1314" s="51">
        <v>1</v>
      </c>
      <c r="L1314" s="40">
        <v>1</v>
      </c>
      <c r="M1314" s="40" t="s">
        <v>556</v>
      </c>
      <c r="N1314" s="40" t="s">
        <v>556</v>
      </c>
      <c r="O1314" s="40" t="s">
        <v>556</v>
      </c>
      <c r="P1314" s="40" t="s">
        <v>556</v>
      </c>
      <c r="Q1314" s="33"/>
      <c r="R1314" s="28"/>
      <c r="S1314" s="2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</row>
    <row r="1315" spans="1:48" s="18" customFormat="1" ht="16.5" customHeight="1">
      <c r="A1315" s="50"/>
      <c r="B1315" s="93" t="s">
        <v>37</v>
      </c>
      <c r="C1315" s="16"/>
      <c r="D1315" s="52"/>
      <c r="E1315" s="51"/>
      <c r="F1315" s="52"/>
      <c r="G1315" s="52"/>
      <c r="H1315" s="52"/>
      <c r="I1315" s="52"/>
      <c r="J1315" s="52"/>
      <c r="K1315" s="52"/>
      <c r="L1315" s="60">
        <v>1</v>
      </c>
      <c r="M1315" s="60" t="s">
        <v>556</v>
      </c>
      <c r="N1315" s="60" t="s">
        <v>556</v>
      </c>
      <c r="O1315" s="60" t="s">
        <v>556</v>
      </c>
      <c r="P1315" s="60" t="s">
        <v>556</v>
      </c>
      <c r="Q1315" s="256" t="s">
        <v>556</v>
      </c>
      <c r="R1315" s="100" t="s">
        <v>556</v>
      </c>
      <c r="S1315" s="100" t="s">
        <v>556</v>
      </c>
      <c r="T1315" s="47"/>
      <c r="U1315" s="47"/>
      <c r="V1315" s="47"/>
      <c r="W1315" s="47"/>
      <c r="X1315" s="47"/>
      <c r="Y1315" s="47"/>
      <c r="Z1315" s="47"/>
      <c r="AA1315" s="47"/>
      <c r="AB1315" s="47"/>
      <c r="AC1315" s="47"/>
      <c r="AD1315" s="47"/>
      <c r="AE1315" s="47"/>
      <c r="AF1315" s="47"/>
      <c r="AG1315" s="47"/>
      <c r="AH1315" s="47"/>
      <c r="AI1315" s="47"/>
      <c r="AJ1315" s="47"/>
      <c r="AK1315" s="47"/>
      <c r="AL1315" s="47"/>
      <c r="AM1315" s="47"/>
      <c r="AN1315" s="47"/>
      <c r="AO1315" s="47"/>
      <c r="AP1315" s="47"/>
      <c r="AQ1315" s="47"/>
      <c r="AR1315" s="47"/>
      <c r="AS1315" s="47"/>
      <c r="AT1315" s="47"/>
      <c r="AU1315" s="47"/>
      <c r="AV1315" s="47"/>
    </row>
    <row r="1316" spans="1:48" s="27" customFormat="1" ht="16.5" customHeight="1">
      <c r="A1316" s="12"/>
      <c r="B1316" s="97" t="s">
        <v>109</v>
      </c>
      <c r="C1316" s="29" t="s">
        <v>110</v>
      </c>
      <c r="D1316" s="51"/>
      <c r="E1316" s="51"/>
      <c r="F1316" s="51" t="s">
        <v>556</v>
      </c>
      <c r="G1316" s="51">
        <v>1</v>
      </c>
      <c r="H1316" s="51">
        <v>1</v>
      </c>
      <c r="I1316" s="51">
        <v>1</v>
      </c>
      <c r="J1316" s="51">
        <v>1</v>
      </c>
      <c r="K1316" s="51">
        <v>1</v>
      </c>
      <c r="L1316" s="40">
        <v>1</v>
      </c>
      <c r="M1316" s="40" t="s">
        <v>556</v>
      </c>
      <c r="N1316" s="40" t="s">
        <v>556</v>
      </c>
      <c r="O1316" s="40" t="s">
        <v>556</v>
      </c>
      <c r="P1316" s="40" t="s">
        <v>556</v>
      </c>
      <c r="Q1316" s="102" t="s">
        <v>556</v>
      </c>
      <c r="R1316" s="101" t="s">
        <v>556</v>
      </c>
      <c r="S1316" s="101" t="s">
        <v>556</v>
      </c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</row>
    <row r="1317" spans="1:188" s="57" customFormat="1" ht="16.5" customHeight="1">
      <c r="A1317" s="13">
        <v>66</v>
      </c>
      <c r="B1317" s="92" t="s">
        <v>759</v>
      </c>
      <c r="C1317" s="45"/>
      <c r="D1317" s="44">
        <v>5</v>
      </c>
      <c r="E1317" s="44">
        <v>3</v>
      </c>
      <c r="F1317" s="44">
        <v>41</v>
      </c>
      <c r="G1317" s="44">
        <v>12</v>
      </c>
      <c r="H1317" s="44">
        <v>12</v>
      </c>
      <c r="I1317" s="44">
        <v>12</v>
      </c>
      <c r="J1317" s="44">
        <v>12</v>
      </c>
      <c r="K1317" s="44">
        <v>12</v>
      </c>
      <c r="L1317" s="44">
        <v>7</v>
      </c>
      <c r="M1317" s="44" t="s">
        <v>556</v>
      </c>
      <c r="N1317" s="44" t="s">
        <v>556</v>
      </c>
      <c r="O1317" s="44" t="s">
        <v>556</v>
      </c>
      <c r="P1317" s="44" t="s">
        <v>556</v>
      </c>
      <c r="Q1317" s="54" t="s">
        <v>649</v>
      </c>
      <c r="R1317" s="54">
        <v>3</v>
      </c>
      <c r="S1317" s="55" t="s">
        <v>1339</v>
      </c>
      <c r="T1317" s="56"/>
      <c r="U1317" s="56"/>
      <c r="V1317" s="56"/>
      <c r="W1317" s="56"/>
      <c r="X1317" s="56"/>
      <c r="Y1317" s="56"/>
      <c r="Z1317" s="56"/>
      <c r="AA1317" s="56"/>
      <c r="AB1317" s="56"/>
      <c r="AC1317" s="56"/>
      <c r="AD1317" s="56"/>
      <c r="AE1317" s="56"/>
      <c r="AF1317" s="56"/>
      <c r="AG1317" s="56"/>
      <c r="AH1317" s="56"/>
      <c r="AI1317" s="56"/>
      <c r="AJ1317" s="56"/>
      <c r="AK1317" s="56"/>
      <c r="AL1317" s="56"/>
      <c r="AM1317" s="56"/>
      <c r="AN1317" s="56"/>
      <c r="AO1317" s="56"/>
      <c r="AP1317" s="56"/>
      <c r="AQ1317" s="56"/>
      <c r="AR1317" s="56"/>
      <c r="AS1317" s="56"/>
      <c r="AT1317" s="56"/>
      <c r="AU1317" s="56"/>
      <c r="AV1317" s="56"/>
      <c r="AW1317" s="56"/>
      <c r="AX1317" s="56"/>
      <c r="AY1317" s="56"/>
      <c r="AZ1317" s="56"/>
      <c r="BA1317" s="56"/>
      <c r="BB1317" s="56"/>
      <c r="BC1317" s="56"/>
      <c r="BD1317" s="56"/>
      <c r="BE1317" s="56"/>
      <c r="BF1317" s="56"/>
      <c r="BG1317" s="56"/>
      <c r="BH1317" s="56"/>
      <c r="BI1317" s="56"/>
      <c r="BJ1317" s="56"/>
      <c r="BK1317" s="56"/>
      <c r="BL1317" s="56"/>
      <c r="BM1317" s="56"/>
      <c r="BN1317" s="56"/>
      <c r="BO1317" s="56"/>
      <c r="BP1317" s="56"/>
      <c r="BQ1317" s="56"/>
      <c r="BR1317" s="56"/>
      <c r="BS1317" s="56"/>
      <c r="BT1317" s="56"/>
      <c r="BU1317" s="56"/>
      <c r="BV1317" s="56"/>
      <c r="BW1317" s="56"/>
      <c r="BX1317" s="56"/>
      <c r="BY1317" s="56"/>
      <c r="BZ1317" s="56"/>
      <c r="CA1317" s="56"/>
      <c r="CB1317" s="56"/>
      <c r="CC1317" s="56"/>
      <c r="CD1317" s="56"/>
      <c r="CE1317" s="56"/>
      <c r="CF1317" s="56"/>
      <c r="CG1317" s="56"/>
      <c r="CH1317" s="56"/>
      <c r="CI1317" s="56"/>
      <c r="CJ1317" s="56"/>
      <c r="CK1317" s="56"/>
      <c r="CL1317" s="56"/>
      <c r="CM1317" s="56"/>
      <c r="CN1317" s="56"/>
      <c r="CO1317" s="56"/>
      <c r="CP1317" s="56"/>
      <c r="CQ1317" s="56"/>
      <c r="CR1317" s="56"/>
      <c r="CS1317" s="56"/>
      <c r="CT1317" s="56"/>
      <c r="CU1317" s="56"/>
      <c r="CV1317" s="56"/>
      <c r="CW1317" s="56"/>
      <c r="CX1317" s="56"/>
      <c r="CY1317" s="56"/>
      <c r="CZ1317" s="56"/>
      <c r="DA1317" s="56"/>
      <c r="DB1317" s="56"/>
      <c r="DC1317" s="56"/>
      <c r="DD1317" s="56"/>
      <c r="DE1317" s="56"/>
      <c r="DF1317" s="56"/>
      <c r="DG1317" s="56"/>
      <c r="DH1317" s="56"/>
      <c r="DI1317" s="56"/>
      <c r="DJ1317" s="56"/>
      <c r="DK1317" s="56"/>
      <c r="DL1317" s="56"/>
      <c r="DM1317" s="56"/>
      <c r="DN1317" s="56"/>
      <c r="DO1317" s="56"/>
      <c r="DP1317" s="56"/>
      <c r="DQ1317" s="56"/>
      <c r="DR1317" s="56"/>
      <c r="DS1317" s="56"/>
      <c r="DT1317" s="56"/>
      <c r="DU1317" s="56"/>
      <c r="DV1317" s="56"/>
      <c r="DW1317" s="56"/>
      <c r="DX1317" s="56"/>
      <c r="DY1317" s="56"/>
      <c r="DZ1317" s="56"/>
      <c r="EA1317" s="56"/>
      <c r="EB1317" s="56"/>
      <c r="EC1317" s="56"/>
      <c r="ED1317" s="56"/>
      <c r="EE1317" s="56"/>
      <c r="EF1317" s="56"/>
      <c r="EG1317" s="56"/>
      <c r="EH1317" s="56"/>
      <c r="EI1317" s="56"/>
      <c r="EJ1317" s="56"/>
      <c r="EK1317" s="56"/>
      <c r="EL1317" s="56"/>
      <c r="EM1317" s="56"/>
      <c r="EN1317" s="56"/>
      <c r="EO1317" s="56"/>
      <c r="EP1317" s="56"/>
      <c r="EQ1317" s="56"/>
      <c r="ER1317" s="56"/>
      <c r="ES1317" s="56"/>
      <c r="ET1317" s="56"/>
      <c r="EU1317" s="56"/>
      <c r="EV1317" s="56"/>
      <c r="EW1317" s="56"/>
      <c r="EX1317" s="56"/>
      <c r="EY1317" s="56"/>
      <c r="EZ1317" s="56"/>
      <c r="FA1317" s="56"/>
      <c r="FB1317" s="56"/>
      <c r="FC1317" s="56"/>
      <c r="FD1317" s="56"/>
      <c r="FE1317" s="56"/>
      <c r="FF1317" s="56"/>
      <c r="FG1317" s="56"/>
      <c r="FH1317" s="56"/>
      <c r="FI1317" s="56"/>
      <c r="FJ1317" s="56"/>
      <c r="FK1317" s="56"/>
      <c r="FL1317" s="56"/>
      <c r="FM1317" s="56"/>
      <c r="FN1317" s="56"/>
      <c r="FO1317" s="56"/>
      <c r="FP1317" s="56"/>
      <c r="FQ1317" s="56"/>
      <c r="FR1317" s="56"/>
      <c r="FS1317" s="56"/>
      <c r="FT1317" s="56"/>
      <c r="FU1317" s="56"/>
      <c r="FV1317" s="56"/>
      <c r="FW1317" s="56"/>
      <c r="FX1317" s="56"/>
      <c r="FY1317" s="56"/>
      <c r="FZ1317" s="56"/>
      <c r="GA1317" s="56"/>
      <c r="GB1317" s="56"/>
      <c r="GC1317" s="56"/>
      <c r="GD1317" s="56"/>
      <c r="GE1317" s="56"/>
      <c r="GF1317" s="56"/>
    </row>
    <row r="1318" spans="1:48" s="18" customFormat="1" ht="16.5" customHeight="1">
      <c r="A1318" s="50"/>
      <c r="B1318" s="93" t="s">
        <v>669</v>
      </c>
      <c r="C1318" s="16"/>
      <c r="D1318" s="52"/>
      <c r="E1318" s="52"/>
      <c r="F1318" s="52"/>
      <c r="G1318" s="52"/>
      <c r="H1318" s="52"/>
      <c r="I1318" s="52"/>
      <c r="J1318" s="52"/>
      <c r="K1318" s="52"/>
      <c r="L1318" s="60">
        <v>5</v>
      </c>
      <c r="M1318" s="60" t="s">
        <v>556</v>
      </c>
      <c r="N1318" s="60" t="s">
        <v>556</v>
      </c>
      <c r="O1318" s="60" t="s">
        <v>556</v>
      </c>
      <c r="P1318" s="60" t="s">
        <v>556</v>
      </c>
      <c r="Q1318" s="23"/>
      <c r="R1318" s="23"/>
      <c r="S1318" s="17"/>
      <c r="T1318" s="47"/>
      <c r="U1318" s="47"/>
      <c r="V1318" s="47"/>
      <c r="W1318" s="47"/>
      <c r="X1318" s="47"/>
      <c r="Y1318" s="47"/>
      <c r="Z1318" s="47"/>
      <c r="AA1318" s="47"/>
      <c r="AB1318" s="47"/>
      <c r="AC1318" s="47"/>
      <c r="AD1318" s="47"/>
      <c r="AE1318" s="47"/>
      <c r="AF1318" s="47"/>
      <c r="AG1318" s="47"/>
      <c r="AH1318" s="47"/>
      <c r="AI1318" s="47"/>
      <c r="AJ1318" s="47"/>
      <c r="AK1318" s="47"/>
      <c r="AL1318" s="47"/>
      <c r="AM1318" s="47"/>
      <c r="AN1318" s="47"/>
      <c r="AO1318" s="47"/>
      <c r="AP1318" s="47"/>
      <c r="AQ1318" s="47"/>
      <c r="AR1318" s="47"/>
      <c r="AS1318" s="47"/>
      <c r="AT1318" s="47"/>
      <c r="AU1318" s="47"/>
      <c r="AV1318" s="47"/>
    </row>
    <row r="1319" spans="1:48" s="27" customFormat="1" ht="16.5" customHeight="1">
      <c r="A1319" s="12"/>
      <c r="B1319" s="97" t="s">
        <v>644</v>
      </c>
      <c r="C1319" s="29" t="s">
        <v>645</v>
      </c>
      <c r="D1319" s="51"/>
      <c r="E1319" s="51"/>
      <c r="F1319" s="51">
        <v>2</v>
      </c>
      <c r="G1319" s="51">
        <v>6</v>
      </c>
      <c r="H1319" s="51">
        <v>6</v>
      </c>
      <c r="I1319" s="51">
        <v>6</v>
      </c>
      <c r="J1319" s="51">
        <v>6</v>
      </c>
      <c r="K1319" s="51">
        <v>6</v>
      </c>
      <c r="L1319" s="40">
        <v>3</v>
      </c>
      <c r="M1319" s="40" t="s">
        <v>556</v>
      </c>
      <c r="N1319" s="40" t="s">
        <v>556</v>
      </c>
      <c r="O1319" s="40" t="s">
        <v>556</v>
      </c>
      <c r="P1319" s="40" t="s">
        <v>556</v>
      </c>
      <c r="Q1319" s="33"/>
      <c r="R1319" s="28"/>
      <c r="S1319" s="2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</row>
    <row r="1320" spans="1:48" s="27" customFormat="1" ht="16.5" customHeight="1">
      <c r="A1320" s="12"/>
      <c r="B1320" s="97" t="s">
        <v>564</v>
      </c>
      <c r="C1320" s="29" t="s">
        <v>565</v>
      </c>
      <c r="D1320" s="51"/>
      <c r="E1320" s="51"/>
      <c r="F1320" s="51"/>
      <c r="G1320" s="51">
        <v>1</v>
      </c>
      <c r="H1320" s="51">
        <v>1</v>
      </c>
      <c r="I1320" s="51">
        <v>1</v>
      </c>
      <c r="J1320" s="51">
        <v>1</v>
      </c>
      <c r="K1320" s="51">
        <v>1</v>
      </c>
      <c r="L1320" s="40">
        <v>1</v>
      </c>
      <c r="M1320" s="40" t="s">
        <v>556</v>
      </c>
      <c r="N1320" s="40" t="s">
        <v>556</v>
      </c>
      <c r="O1320" s="40" t="s">
        <v>556</v>
      </c>
      <c r="P1320" s="40" t="s">
        <v>556</v>
      </c>
      <c r="Q1320" s="33"/>
      <c r="R1320" s="28"/>
      <c r="S1320" s="2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</row>
    <row r="1321" spans="1:48" s="27" customFormat="1" ht="16.5" customHeight="1">
      <c r="A1321" s="12"/>
      <c r="B1321" s="97" t="s">
        <v>1316</v>
      </c>
      <c r="C1321" s="29" t="s">
        <v>1317</v>
      </c>
      <c r="D1321" s="51"/>
      <c r="E1321" s="51"/>
      <c r="F1321" s="51"/>
      <c r="G1321" s="51">
        <v>1</v>
      </c>
      <c r="H1321" s="51">
        <v>1</v>
      </c>
      <c r="I1321" s="51">
        <v>1</v>
      </c>
      <c r="J1321" s="51">
        <v>1</v>
      </c>
      <c r="K1321" s="51">
        <v>1</v>
      </c>
      <c r="L1321" s="40">
        <v>1</v>
      </c>
      <c r="M1321" s="40" t="s">
        <v>556</v>
      </c>
      <c r="N1321" s="40" t="s">
        <v>556</v>
      </c>
      <c r="O1321" s="40" t="s">
        <v>556</v>
      </c>
      <c r="P1321" s="40" t="s">
        <v>556</v>
      </c>
      <c r="Q1321" s="33"/>
      <c r="R1321" s="28"/>
      <c r="S1321" s="2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</row>
    <row r="1322" spans="1:48" s="18" customFormat="1" ht="16.5" customHeight="1">
      <c r="A1322" s="50"/>
      <c r="B1322" s="93" t="s">
        <v>670</v>
      </c>
      <c r="C1322" s="16"/>
      <c r="D1322" s="52"/>
      <c r="E1322" s="51"/>
      <c r="F1322" s="52"/>
      <c r="G1322" s="52"/>
      <c r="H1322" s="52"/>
      <c r="I1322" s="52"/>
      <c r="J1322" s="52"/>
      <c r="K1322" s="52"/>
      <c r="L1322" s="60">
        <v>2</v>
      </c>
      <c r="M1322" s="60" t="s">
        <v>556</v>
      </c>
      <c r="N1322" s="60" t="s">
        <v>556</v>
      </c>
      <c r="O1322" s="60" t="s">
        <v>556</v>
      </c>
      <c r="P1322" s="60" t="s">
        <v>556</v>
      </c>
      <c r="Q1322" s="256" t="s">
        <v>556</v>
      </c>
      <c r="R1322" s="100" t="s">
        <v>556</v>
      </c>
      <c r="S1322" s="100" t="s">
        <v>556</v>
      </c>
      <c r="T1322" s="47"/>
      <c r="U1322" s="47"/>
      <c r="V1322" s="47"/>
      <c r="W1322" s="47"/>
      <c r="X1322" s="47"/>
      <c r="Y1322" s="47"/>
      <c r="Z1322" s="47"/>
      <c r="AA1322" s="47"/>
      <c r="AB1322" s="47"/>
      <c r="AC1322" s="47"/>
      <c r="AD1322" s="47"/>
      <c r="AE1322" s="47"/>
      <c r="AF1322" s="47"/>
      <c r="AG1322" s="47"/>
      <c r="AH1322" s="47"/>
      <c r="AI1322" s="47"/>
      <c r="AJ1322" s="47"/>
      <c r="AK1322" s="47"/>
      <c r="AL1322" s="47"/>
      <c r="AM1322" s="47"/>
      <c r="AN1322" s="47"/>
      <c r="AO1322" s="47"/>
      <c r="AP1322" s="47"/>
      <c r="AQ1322" s="47"/>
      <c r="AR1322" s="47"/>
      <c r="AS1322" s="47"/>
      <c r="AT1322" s="47"/>
      <c r="AU1322" s="47"/>
      <c r="AV1322" s="47"/>
    </row>
    <row r="1323" spans="1:48" s="27" customFormat="1" ht="16.5" customHeight="1">
      <c r="A1323" s="12"/>
      <c r="B1323" s="97" t="s">
        <v>561</v>
      </c>
      <c r="C1323" s="66" t="s">
        <v>804</v>
      </c>
      <c r="D1323" s="51"/>
      <c r="E1323" s="51"/>
      <c r="F1323" s="51" t="s">
        <v>556</v>
      </c>
      <c r="G1323" s="51">
        <v>2</v>
      </c>
      <c r="H1323" s="51">
        <v>2</v>
      </c>
      <c r="I1323" s="51">
        <v>2</v>
      </c>
      <c r="J1323" s="51">
        <v>2</v>
      </c>
      <c r="K1323" s="51">
        <v>2</v>
      </c>
      <c r="L1323" s="40">
        <v>1</v>
      </c>
      <c r="M1323" s="40" t="s">
        <v>556</v>
      </c>
      <c r="N1323" s="40" t="s">
        <v>556</v>
      </c>
      <c r="O1323" s="40" t="s">
        <v>556</v>
      </c>
      <c r="P1323" s="40" t="s">
        <v>556</v>
      </c>
      <c r="Q1323" s="102" t="s">
        <v>556</v>
      </c>
      <c r="R1323" s="101" t="s">
        <v>556</v>
      </c>
      <c r="S1323" s="101" t="s">
        <v>556</v>
      </c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</row>
    <row r="1324" spans="1:48" s="27" customFormat="1" ht="16.5" customHeight="1">
      <c r="A1324" s="12"/>
      <c r="B1324" s="97" t="s">
        <v>1321</v>
      </c>
      <c r="C1324" s="15" t="s">
        <v>1323</v>
      </c>
      <c r="D1324" s="51"/>
      <c r="E1324" s="51"/>
      <c r="F1324" s="51"/>
      <c r="G1324" s="51">
        <v>1</v>
      </c>
      <c r="H1324" s="51">
        <v>1</v>
      </c>
      <c r="I1324" s="51">
        <v>1</v>
      </c>
      <c r="J1324" s="51">
        <v>1</v>
      </c>
      <c r="K1324" s="51">
        <v>1</v>
      </c>
      <c r="L1324" s="40">
        <v>1</v>
      </c>
      <c r="M1324" s="40" t="s">
        <v>556</v>
      </c>
      <c r="N1324" s="40" t="s">
        <v>556</v>
      </c>
      <c r="O1324" s="40" t="s">
        <v>556</v>
      </c>
      <c r="P1324" s="40" t="s">
        <v>556</v>
      </c>
      <c r="Q1324" s="102"/>
      <c r="R1324" s="102"/>
      <c r="S1324" s="102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</row>
    <row r="1325" spans="1:188" s="57" customFormat="1" ht="16.5" customHeight="1">
      <c r="A1325" s="13">
        <v>67</v>
      </c>
      <c r="B1325" s="92" t="s">
        <v>755</v>
      </c>
      <c r="C1325" s="45"/>
      <c r="D1325" s="44">
        <v>22</v>
      </c>
      <c r="E1325" s="44" t="s">
        <v>556</v>
      </c>
      <c r="F1325" s="44">
        <v>41</v>
      </c>
      <c r="G1325" s="44">
        <v>22</v>
      </c>
      <c r="H1325" s="44">
        <v>22</v>
      </c>
      <c r="I1325" s="44">
        <v>22</v>
      </c>
      <c r="J1325" s="44">
        <v>22</v>
      </c>
      <c r="K1325" s="44">
        <v>22</v>
      </c>
      <c r="L1325" s="44">
        <v>2</v>
      </c>
      <c r="M1325" s="44" t="s">
        <v>556</v>
      </c>
      <c r="N1325" s="44" t="s">
        <v>556</v>
      </c>
      <c r="O1325" s="44" t="s">
        <v>556</v>
      </c>
      <c r="P1325" s="44" t="s">
        <v>556</v>
      </c>
      <c r="Q1325" s="54" t="s">
        <v>649</v>
      </c>
      <c r="R1325" s="54">
        <v>3</v>
      </c>
      <c r="S1325" s="55" t="s">
        <v>1339</v>
      </c>
      <c r="T1325" s="56"/>
      <c r="U1325" s="56"/>
      <c r="V1325" s="56"/>
      <c r="W1325" s="56"/>
      <c r="X1325" s="56"/>
      <c r="Y1325" s="56"/>
      <c r="Z1325" s="56"/>
      <c r="AA1325" s="56"/>
      <c r="AB1325" s="56"/>
      <c r="AC1325" s="56"/>
      <c r="AD1325" s="56"/>
      <c r="AE1325" s="56"/>
      <c r="AF1325" s="56"/>
      <c r="AG1325" s="56"/>
      <c r="AH1325" s="56"/>
      <c r="AI1325" s="56"/>
      <c r="AJ1325" s="56"/>
      <c r="AK1325" s="56"/>
      <c r="AL1325" s="56"/>
      <c r="AM1325" s="56"/>
      <c r="AN1325" s="56"/>
      <c r="AO1325" s="56"/>
      <c r="AP1325" s="56"/>
      <c r="AQ1325" s="56"/>
      <c r="AR1325" s="56"/>
      <c r="AS1325" s="56"/>
      <c r="AT1325" s="56"/>
      <c r="AU1325" s="56"/>
      <c r="AV1325" s="56"/>
      <c r="AW1325" s="56"/>
      <c r="AX1325" s="56"/>
      <c r="AY1325" s="56"/>
      <c r="AZ1325" s="56"/>
      <c r="BA1325" s="56"/>
      <c r="BB1325" s="56"/>
      <c r="BC1325" s="56"/>
      <c r="BD1325" s="56"/>
      <c r="BE1325" s="56"/>
      <c r="BF1325" s="56"/>
      <c r="BG1325" s="56"/>
      <c r="BH1325" s="56"/>
      <c r="BI1325" s="56"/>
      <c r="BJ1325" s="56"/>
      <c r="BK1325" s="56"/>
      <c r="BL1325" s="56"/>
      <c r="BM1325" s="56"/>
      <c r="BN1325" s="56"/>
      <c r="BO1325" s="56"/>
      <c r="BP1325" s="56"/>
      <c r="BQ1325" s="56"/>
      <c r="BR1325" s="56"/>
      <c r="BS1325" s="56"/>
      <c r="BT1325" s="56"/>
      <c r="BU1325" s="56"/>
      <c r="BV1325" s="56"/>
      <c r="BW1325" s="56"/>
      <c r="BX1325" s="56"/>
      <c r="BY1325" s="56"/>
      <c r="BZ1325" s="56"/>
      <c r="CA1325" s="56"/>
      <c r="CB1325" s="56"/>
      <c r="CC1325" s="56"/>
      <c r="CD1325" s="56"/>
      <c r="CE1325" s="56"/>
      <c r="CF1325" s="56"/>
      <c r="CG1325" s="56"/>
      <c r="CH1325" s="56"/>
      <c r="CI1325" s="56"/>
      <c r="CJ1325" s="56"/>
      <c r="CK1325" s="56"/>
      <c r="CL1325" s="56"/>
      <c r="CM1325" s="56"/>
      <c r="CN1325" s="56"/>
      <c r="CO1325" s="56"/>
      <c r="CP1325" s="56"/>
      <c r="CQ1325" s="56"/>
      <c r="CR1325" s="56"/>
      <c r="CS1325" s="56"/>
      <c r="CT1325" s="56"/>
      <c r="CU1325" s="56"/>
      <c r="CV1325" s="56"/>
      <c r="CW1325" s="56"/>
      <c r="CX1325" s="56"/>
      <c r="CY1325" s="56"/>
      <c r="CZ1325" s="56"/>
      <c r="DA1325" s="56"/>
      <c r="DB1325" s="56"/>
      <c r="DC1325" s="56"/>
      <c r="DD1325" s="56"/>
      <c r="DE1325" s="56"/>
      <c r="DF1325" s="56"/>
      <c r="DG1325" s="56"/>
      <c r="DH1325" s="56"/>
      <c r="DI1325" s="56"/>
      <c r="DJ1325" s="56"/>
      <c r="DK1325" s="56"/>
      <c r="DL1325" s="56"/>
      <c r="DM1325" s="56"/>
      <c r="DN1325" s="56"/>
      <c r="DO1325" s="56"/>
      <c r="DP1325" s="56"/>
      <c r="DQ1325" s="56"/>
      <c r="DR1325" s="56"/>
      <c r="DS1325" s="56"/>
      <c r="DT1325" s="56"/>
      <c r="DU1325" s="56"/>
      <c r="DV1325" s="56"/>
      <c r="DW1325" s="56"/>
      <c r="DX1325" s="56"/>
      <c r="DY1325" s="56"/>
      <c r="DZ1325" s="56"/>
      <c r="EA1325" s="56"/>
      <c r="EB1325" s="56"/>
      <c r="EC1325" s="56"/>
      <c r="ED1325" s="56"/>
      <c r="EE1325" s="56"/>
      <c r="EF1325" s="56"/>
      <c r="EG1325" s="56"/>
      <c r="EH1325" s="56"/>
      <c r="EI1325" s="56"/>
      <c r="EJ1325" s="56"/>
      <c r="EK1325" s="56"/>
      <c r="EL1325" s="56"/>
      <c r="EM1325" s="56"/>
      <c r="EN1325" s="56"/>
      <c r="EO1325" s="56"/>
      <c r="EP1325" s="56"/>
      <c r="EQ1325" s="56"/>
      <c r="ER1325" s="56"/>
      <c r="ES1325" s="56"/>
      <c r="ET1325" s="56"/>
      <c r="EU1325" s="56"/>
      <c r="EV1325" s="56"/>
      <c r="EW1325" s="56"/>
      <c r="EX1325" s="56"/>
      <c r="EY1325" s="56"/>
      <c r="EZ1325" s="56"/>
      <c r="FA1325" s="56"/>
      <c r="FB1325" s="56"/>
      <c r="FC1325" s="56"/>
      <c r="FD1325" s="56"/>
      <c r="FE1325" s="56"/>
      <c r="FF1325" s="56"/>
      <c r="FG1325" s="56"/>
      <c r="FH1325" s="56"/>
      <c r="FI1325" s="56"/>
      <c r="FJ1325" s="56"/>
      <c r="FK1325" s="56"/>
      <c r="FL1325" s="56"/>
      <c r="FM1325" s="56"/>
      <c r="FN1325" s="56"/>
      <c r="FO1325" s="56"/>
      <c r="FP1325" s="56"/>
      <c r="FQ1325" s="56"/>
      <c r="FR1325" s="56"/>
      <c r="FS1325" s="56"/>
      <c r="FT1325" s="56"/>
      <c r="FU1325" s="56"/>
      <c r="FV1325" s="56"/>
      <c r="FW1325" s="56"/>
      <c r="FX1325" s="56"/>
      <c r="FY1325" s="56"/>
      <c r="FZ1325" s="56"/>
      <c r="GA1325" s="56"/>
      <c r="GB1325" s="56"/>
      <c r="GC1325" s="56"/>
      <c r="GD1325" s="56"/>
      <c r="GE1325" s="56"/>
      <c r="GF1325" s="56"/>
    </row>
    <row r="1326" spans="1:48" s="18" customFormat="1" ht="16.5" customHeight="1">
      <c r="A1326" s="50"/>
      <c r="B1326" s="93" t="s">
        <v>669</v>
      </c>
      <c r="C1326" s="16"/>
      <c r="D1326" s="52"/>
      <c r="E1326" s="52"/>
      <c r="F1326" s="52"/>
      <c r="G1326" s="52"/>
      <c r="H1326" s="52"/>
      <c r="I1326" s="52"/>
      <c r="J1326" s="52"/>
      <c r="K1326" s="52"/>
      <c r="L1326" s="60">
        <v>2</v>
      </c>
      <c r="M1326" s="60" t="s">
        <v>556</v>
      </c>
      <c r="N1326" s="60" t="s">
        <v>556</v>
      </c>
      <c r="O1326" s="60" t="s">
        <v>556</v>
      </c>
      <c r="P1326" s="60" t="s">
        <v>556</v>
      </c>
      <c r="Q1326" s="23"/>
      <c r="R1326" s="23"/>
      <c r="S1326" s="17"/>
      <c r="T1326" s="47"/>
      <c r="U1326" s="47"/>
      <c r="V1326" s="47"/>
      <c r="W1326" s="47"/>
      <c r="X1326" s="47"/>
      <c r="Y1326" s="47"/>
      <c r="Z1326" s="47"/>
      <c r="AA1326" s="47"/>
      <c r="AB1326" s="47"/>
      <c r="AC1326" s="47"/>
      <c r="AD1326" s="47"/>
      <c r="AE1326" s="47"/>
      <c r="AF1326" s="47"/>
      <c r="AG1326" s="47"/>
      <c r="AH1326" s="47"/>
      <c r="AI1326" s="47"/>
      <c r="AJ1326" s="47"/>
      <c r="AK1326" s="47"/>
      <c r="AL1326" s="47"/>
      <c r="AM1326" s="47"/>
      <c r="AN1326" s="47"/>
      <c r="AO1326" s="47"/>
      <c r="AP1326" s="47"/>
      <c r="AQ1326" s="47"/>
      <c r="AR1326" s="47"/>
      <c r="AS1326" s="47"/>
      <c r="AT1326" s="47"/>
      <c r="AU1326" s="47"/>
      <c r="AV1326" s="47"/>
    </row>
    <row r="1327" spans="1:48" s="27" customFormat="1" ht="16.5" customHeight="1">
      <c r="A1327" s="12"/>
      <c r="B1327" s="97" t="s">
        <v>460</v>
      </c>
      <c r="C1327" s="29" t="s">
        <v>544</v>
      </c>
      <c r="D1327" s="51"/>
      <c r="E1327" s="51"/>
      <c r="F1327" s="51">
        <v>2</v>
      </c>
      <c r="G1327" s="51">
        <v>1</v>
      </c>
      <c r="H1327" s="51">
        <v>1</v>
      </c>
      <c r="I1327" s="51">
        <v>1</v>
      </c>
      <c r="J1327" s="51">
        <v>1</v>
      </c>
      <c r="K1327" s="51">
        <v>1</v>
      </c>
      <c r="L1327" s="40">
        <v>1</v>
      </c>
      <c r="M1327" s="40" t="s">
        <v>556</v>
      </c>
      <c r="N1327" s="40" t="s">
        <v>556</v>
      </c>
      <c r="O1327" s="40" t="s">
        <v>556</v>
      </c>
      <c r="P1327" s="40" t="s">
        <v>556</v>
      </c>
      <c r="Q1327" s="33"/>
      <c r="R1327" s="28"/>
      <c r="S1327" s="2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</row>
    <row r="1328" spans="1:48" s="27" customFormat="1" ht="16.5" customHeight="1">
      <c r="A1328" s="12"/>
      <c r="B1328" s="97" t="s">
        <v>446</v>
      </c>
      <c r="C1328" s="29" t="s">
        <v>447</v>
      </c>
      <c r="D1328" s="51"/>
      <c r="E1328" s="51"/>
      <c r="F1328" s="51"/>
      <c r="G1328" s="51">
        <v>1</v>
      </c>
      <c r="H1328" s="51">
        <v>1</v>
      </c>
      <c r="I1328" s="51">
        <v>1</v>
      </c>
      <c r="J1328" s="51">
        <v>1</v>
      </c>
      <c r="K1328" s="51">
        <v>1</v>
      </c>
      <c r="L1328" s="40">
        <v>1</v>
      </c>
      <c r="M1328" s="40" t="s">
        <v>556</v>
      </c>
      <c r="N1328" s="40" t="s">
        <v>556</v>
      </c>
      <c r="O1328" s="40" t="s">
        <v>556</v>
      </c>
      <c r="P1328" s="40" t="s">
        <v>556</v>
      </c>
      <c r="Q1328" s="33"/>
      <c r="R1328" s="33"/>
      <c r="S1328" s="33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</row>
    <row r="1329" spans="1:188" s="57" customFormat="1" ht="16.5" customHeight="1">
      <c r="A1329" s="13">
        <v>68</v>
      </c>
      <c r="B1329" s="92" t="s">
        <v>756</v>
      </c>
      <c r="C1329" s="45"/>
      <c r="D1329" s="44">
        <v>3</v>
      </c>
      <c r="E1329" s="44" t="s">
        <v>556</v>
      </c>
      <c r="F1329" s="44">
        <v>41</v>
      </c>
      <c r="G1329" s="44">
        <v>3</v>
      </c>
      <c r="H1329" s="44">
        <v>4</v>
      </c>
      <c r="I1329" s="44">
        <v>4</v>
      </c>
      <c r="J1329" s="44">
        <v>5</v>
      </c>
      <c r="K1329" s="44">
        <v>5</v>
      </c>
      <c r="L1329" s="44" t="s">
        <v>556</v>
      </c>
      <c r="M1329" s="44">
        <v>1</v>
      </c>
      <c r="N1329" s="44" t="s">
        <v>556</v>
      </c>
      <c r="O1329" s="44">
        <v>1</v>
      </c>
      <c r="P1329" s="44" t="s">
        <v>556</v>
      </c>
      <c r="Q1329" s="54" t="s">
        <v>649</v>
      </c>
      <c r="R1329" s="54">
        <v>3</v>
      </c>
      <c r="S1329" s="55" t="s">
        <v>1339</v>
      </c>
      <c r="T1329" s="56"/>
      <c r="U1329" s="56"/>
      <c r="V1329" s="56"/>
      <c r="W1329" s="56"/>
      <c r="X1329" s="56"/>
      <c r="Y1329" s="56"/>
      <c r="Z1329" s="56"/>
      <c r="AA1329" s="56"/>
      <c r="AB1329" s="56"/>
      <c r="AC1329" s="56"/>
      <c r="AD1329" s="56"/>
      <c r="AE1329" s="56"/>
      <c r="AF1329" s="56"/>
      <c r="AG1329" s="56"/>
      <c r="AH1329" s="56"/>
      <c r="AI1329" s="56"/>
      <c r="AJ1329" s="56"/>
      <c r="AK1329" s="56"/>
      <c r="AL1329" s="56"/>
      <c r="AM1329" s="56"/>
      <c r="AN1329" s="56"/>
      <c r="AO1329" s="56"/>
      <c r="AP1329" s="56"/>
      <c r="AQ1329" s="56"/>
      <c r="AR1329" s="56"/>
      <c r="AS1329" s="56"/>
      <c r="AT1329" s="56"/>
      <c r="AU1329" s="56"/>
      <c r="AV1329" s="56"/>
      <c r="AW1329" s="56"/>
      <c r="AX1329" s="56"/>
      <c r="AY1329" s="56"/>
      <c r="AZ1329" s="56"/>
      <c r="BA1329" s="56"/>
      <c r="BB1329" s="56"/>
      <c r="BC1329" s="56"/>
      <c r="BD1329" s="56"/>
      <c r="BE1329" s="56"/>
      <c r="BF1329" s="56"/>
      <c r="BG1329" s="56"/>
      <c r="BH1329" s="56"/>
      <c r="BI1329" s="56"/>
      <c r="BJ1329" s="56"/>
      <c r="BK1329" s="56"/>
      <c r="BL1329" s="56"/>
      <c r="BM1329" s="56"/>
      <c r="BN1329" s="56"/>
      <c r="BO1329" s="56"/>
      <c r="BP1329" s="56"/>
      <c r="BQ1329" s="56"/>
      <c r="BR1329" s="56"/>
      <c r="BS1329" s="56"/>
      <c r="BT1329" s="56"/>
      <c r="BU1329" s="56"/>
      <c r="BV1329" s="56"/>
      <c r="BW1329" s="56"/>
      <c r="BX1329" s="56"/>
      <c r="BY1329" s="56"/>
      <c r="BZ1329" s="56"/>
      <c r="CA1329" s="56"/>
      <c r="CB1329" s="56"/>
      <c r="CC1329" s="56"/>
      <c r="CD1329" s="56"/>
      <c r="CE1329" s="56"/>
      <c r="CF1329" s="56"/>
      <c r="CG1329" s="56"/>
      <c r="CH1329" s="56"/>
      <c r="CI1329" s="56"/>
      <c r="CJ1329" s="56"/>
      <c r="CK1329" s="56"/>
      <c r="CL1329" s="56"/>
      <c r="CM1329" s="56"/>
      <c r="CN1329" s="56"/>
      <c r="CO1329" s="56"/>
      <c r="CP1329" s="56"/>
      <c r="CQ1329" s="56"/>
      <c r="CR1329" s="56"/>
      <c r="CS1329" s="56"/>
      <c r="CT1329" s="56"/>
      <c r="CU1329" s="56"/>
      <c r="CV1329" s="56"/>
      <c r="CW1329" s="56"/>
      <c r="CX1329" s="56"/>
      <c r="CY1329" s="56"/>
      <c r="CZ1329" s="56"/>
      <c r="DA1329" s="56"/>
      <c r="DB1329" s="56"/>
      <c r="DC1329" s="56"/>
      <c r="DD1329" s="56"/>
      <c r="DE1329" s="56"/>
      <c r="DF1329" s="56"/>
      <c r="DG1329" s="56"/>
      <c r="DH1329" s="56"/>
      <c r="DI1329" s="56"/>
      <c r="DJ1329" s="56"/>
      <c r="DK1329" s="56"/>
      <c r="DL1329" s="56"/>
      <c r="DM1329" s="56"/>
      <c r="DN1329" s="56"/>
      <c r="DO1329" s="56"/>
      <c r="DP1329" s="56"/>
      <c r="DQ1329" s="56"/>
      <c r="DR1329" s="56"/>
      <c r="DS1329" s="56"/>
      <c r="DT1329" s="56"/>
      <c r="DU1329" s="56"/>
      <c r="DV1329" s="56"/>
      <c r="DW1329" s="56"/>
      <c r="DX1329" s="56"/>
      <c r="DY1329" s="56"/>
      <c r="DZ1329" s="56"/>
      <c r="EA1329" s="56"/>
      <c r="EB1329" s="56"/>
      <c r="EC1329" s="56"/>
      <c r="ED1329" s="56"/>
      <c r="EE1329" s="56"/>
      <c r="EF1329" s="56"/>
      <c r="EG1329" s="56"/>
      <c r="EH1329" s="56"/>
      <c r="EI1329" s="56"/>
      <c r="EJ1329" s="56"/>
      <c r="EK1329" s="56"/>
      <c r="EL1329" s="56"/>
      <c r="EM1329" s="56"/>
      <c r="EN1329" s="56"/>
      <c r="EO1329" s="56"/>
      <c r="EP1329" s="56"/>
      <c r="EQ1329" s="56"/>
      <c r="ER1329" s="56"/>
      <c r="ES1329" s="56"/>
      <c r="ET1329" s="56"/>
      <c r="EU1329" s="56"/>
      <c r="EV1329" s="56"/>
      <c r="EW1329" s="56"/>
      <c r="EX1329" s="56"/>
      <c r="EY1329" s="56"/>
      <c r="EZ1329" s="56"/>
      <c r="FA1329" s="56"/>
      <c r="FB1329" s="56"/>
      <c r="FC1329" s="56"/>
      <c r="FD1329" s="56"/>
      <c r="FE1329" s="56"/>
      <c r="FF1329" s="56"/>
      <c r="FG1329" s="56"/>
      <c r="FH1329" s="56"/>
      <c r="FI1329" s="56"/>
      <c r="FJ1329" s="56"/>
      <c r="FK1329" s="56"/>
      <c r="FL1329" s="56"/>
      <c r="FM1329" s="56"/>
      <c r="FN1329" s="56"/>
      <c r="FO1329" s="56"/>
      <c r="FP1329" s="56"/>
      <c r="FQ1329" s="56"/>
      <c r="FR1329" s="56"/>
      <c r="FS1329" s="56"/>
      <c r="FT1329" s="56"/>
      <c r="FU1329" s="56"/>
      <c r="FV1329" s="56"/>
      <c r="FW1329" s="56"/>
      <c r="FX1329" s="56"/>
      <c r="FY1329" s="56"/>
      <c r="FZ1329" s="56"/>
      <c r="GA1329" s="56"/>
      <c r="GB1329" s="56"/>
      <c r="GC1329" s="56"/>
      <c r="GD1329" s="56"/>
      <c r="GE1329" s="56"/>
      <c r="GF1329" s="56"/>
    </row>
    <row r="1330" spans="1:48" s="18" customFormat="1" ht="16.5" customHeight="1">
      <c r="A1330" s="50"/>
      <c r="B1330" s="93" t="s">
        <v>669</v>
      </c>
      <c r="C1330" s="16"/>
      <c r="D1330" s="52"/>
      <c r="E1330" s="52"/>
      <c r="F1330" s="52"/>
      <c r="G1330" s="52"/>
      <c r="H1330" s="52"/>
      <c r="I1330" s="52"/>
      <c r="J1330" s="52"/>
      <c r="K1330" s="52"/>
      <c r="L1330" s="60" t="s">
        <v>556</v>
      </c>
      <c r="M1330" s="60" t="s">
        <v>556</v>
      </c>
      <c r="N1330" s="60" t="s">
        <v>556</v>
      </c>
      <c r="O1330" s="60">
        <v>1</v>
      </c>
      <c r="P1330" s="60" t="s">
        <v>556</v>
      </c>
      <c r="Q1330" s="23"/>
      <c r="R1330" s="23"/>
      <c r="S1330" s="17"/>
      <c r="T1330" s="47"/>
      <c r="U1330" s="47"/>
      <c r="V1330" s="47"/>
      <c r="W1330" s="47"/>
      <c r="X1330" s="47"/>
      <c r="Y1330" s="47"/>
      <c r="Z1330" s="47"/>
      <c r="AA1330" s="47"/>
      <c r="AB1330" s="47"/>
      <c r="AC1330" s="47"/>
      <c r="AD1330" s="47"/>
      <c r="AE1330" s="47"/>
      <c r="AF1330" s="47"/>
      <c r="AG1330" s="47"/>
      <c r="AH1330" s="47"/>
      <c r="AI1330" s="47"/>
      <c r="AJ1330" s="47"/>
      <c r="AK1330" s="47"/>
      <c r="AL1330" s="47"/>
      <c r="AM1330" s="47"/>
      <c r="AN1330" s="47"/>
      <c r="AO1330" s="47"/>
      <c r="AP1330" s="47"/>
      <c r="AQ1330" s="47"/>
      <c r="AR1330" s="47"/>
      <c r="AS1330" s="47"/>
      <c r="AT1330" s="47"/>
      <c r="AU1330" s="47"/>
      <c r="AV1330" s="47"/>
    </row>
    <row r="1331" spans="1:48" s="27" customFormat="1" ht="16.5" customHeight="1">
      <c r="A1331" s="12"/>
      <c r="B1331" s="97" t="s">
        <v>448</v>
      </c>
      <c r="C1331" s="29" t="s">
        <v>449</v>
      </c>
      <c r="D1331" s="51"/>
      <c r="E1331" s="51"/>
      <c r="F1331" s="51">
        <v>2</v>
      </c>
      <c r="G1331" s="51">
        <v>1</v>
      </c>
      <c r="H1331" s="51">
        <v>1</v>
      </c>
      <c r="I1331" s="51">
        <v>1</v>
      </c>
      <c r="J1331" s="51">
        <v>2</v>
      </c>
      <c r="K1331" s="51">
        <v>2</v>
      </c>
      <c r="L1331" s="40" t="s">
        <v>556</v>
      </c>
      <c r="M1331" s="40" t="s">
        <v>556</v>
      </c>
      <c r="N1331" s="40" t="s">
        <v>556</v>
      </c>
      <c r="O1331" s="40">
        <v>1</v>
      </c>
      <c r="P1331" s="40" t="s">
        <v>556</v>
      </c>
      <c r="Q1331" s="33"/>
      <c r="R1331" s="28"/>
      <c r="S1331" s="2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</row>
    <row r="1332" spans="1:48" s="18" customFormat="1" ht="16.5" customHeight="1">
      <c r="A1332" s="50"/>
      <c r="B1332" s="93" t="s">
        <v>670</v>
      </c>
      <c r="C1332" s="16"/>
      <c r="D1332" s="52"/>
      <c r="E1332" s="51"/>
      <c r="F1332" s="52"/>
      <c r="G1332" s="52"/>
      <c r="H1332" s="52"/>
      <c r="I1332" s="52"/>
      <c r="J1332" s="52"/>
      <c r="K1332" s="52"/>
      <c r="L1332" s="60" t="s">
        <v>556</v>
      </c>
      <c r="M1332" s="60">
        <f>SUM(M1333:M1333)</f>
        <v>1</v>
      </c>
      <c r="N1332" s="60" t="s">
        <v>556</v>
      </c>
      <c r="O1332" s="60" t="s">
        <v>556</v>
      </c>
      <c r="P1332" s="60" t="s">
        <v>556</v>
      </c>
      <c r="Q1332" s="23"/>
      <c r="R1332" s="23"/>
      <c r="S1332" s="17"/>
      <c r="T1332" s="47"/>
      <c r="U1332" s="47"/>
      <c r="V1332" s="47"/>
      <c r="W1332" s="47"/>
      <c r="X1332" s="47"/>
      <c r="Y1332" s="47"/>
      <c r="Z1332" s="47"/>
      <c r="AA1332" s="47"/>
      <c r="AB1332" s="47"/>
      <c r="AC1332" s="47"/>
      <c r="AD1332" s="47"/>
      <c r="AE1332" s="47"/>
      <c r="AF1332" s="47"/>
      <c r="AG1332" s="47"/>
      <c r="AH1332" s="47"/>
      <c r="AI1332" s="47"/>
      <c r="AJ1332" s="47"/>
      <c r="AK1332" s="47"/>
      <c r="AL1332" s="47"/>
      <c r="AM1332" s="47"/>
      <c r="AN1332" s="47"/>
      <c r="AO1332" s="47"/>
      <c r="AP1332" s="47"/>
      <c r="AQ1332" s="47"/>
      <c r="AR1332" s="47"/>
      <c r="AS1332" s="47"/>
      <c r="AT1332" s="47"/>
      <c r="AU1332" s="47"/>
      <c r="AV1332" s="47"/>
    </row>
    <row r="1333" spans="1:48" s="27" customFormat="1" ht="16.5" customHeight="1">
      <c r="A1333" s="12"/>
      <c r="B1333" s="97" t="s">
        <v>561</v>
      </c>
      <c r="C1333" s="29" t="s">
        <v>1053</v>
      </c>
      <c r="D1333" s="51"/>
      <c r="E1333" s="51"/>
      <c r="F1333" s="51">
        <v>2</v>
      </c>
      <c r="G1333" s="51" t="s">
        <v>556</v>
      </c>
      <c r="H1333" s="51">
        <v>1</v>
      </c>
      <c r="I1333" s="51">
        <v>1</v>
      </c>
      <c r="J1333" s="51">
        <v>1</v>
      </c>
      <c r="K1333" s="51">
        <v>1</v>
      </c>
      <c r="L1333" s="40" t="s">
        <v>556</v>
      </c>
      <c r="M1333" s="40">
        <v>1</v>
      </c>
      <c r="N1333" s="40" t="s">
        <v>556</v>
      </c>
      <c r="O1333" s="40" t="s">
        <v>556</v>
      </c>
      <c r="P1333" s="40" t="s">
        <v>556</v>
      </c>
      <c r="Q1333" s="30"/>
      <c r="R1333" s="30"/>
      <c r="S1333" s="30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</row>
    <row r="1334" spans="1:188" s="57" customFormat="1" ht="16.5" customHeight="1">
      <c r="A1334" s="13">
        <v>69</v>
      </c>
      <c r="B1334" s="92" t="s">
        <v>757</v>
      </c>
      <c r="C1334" s="45"/>
      <c r="D1334" s="44">
        <v>6</v>
      </c>
      <c r="E1334" s="44">
        <v>1</v>
      </c>
      <c r="F1334" s="44">
        <v>41</v>
      </c>
      <c r="G1334" s="44">
        <v>7</v>
      </c>
      <c r="H1334" s="44">
        <v>7</v>
      </c>
      <c r="I1334" s="44">
        <v>7</v>
      </c>
      <c r="J1334" s="44">
        <v>7</v>
      </c>
      <c r="K1334" s="44">
        <v>7</v>
      </c>
      <c r="L1334" s="44">
        <v>2</v>
      </c>
      <c r="M1334" s="44" t="s">
        <v>556</v>
      </c>
      <c r="N1334" s="44" t="s">
        <v>556</v>
      </c>
      <c r="O1334" s="44" t="s">
        <v>556</v>
      </c>
      <c r="P1334" s="44" t="s">
        <v>556</v>
      </c>
      <c r="Q1334" s="54" t="s">
        <v>649</v>
      </c>
      <c r="R1334" s="54">
        <v>3</v>
      </c>
      <c r="S1334" s="55" t="s">
        <v>1339</v>
      </c>
      <c r="T1334" s="56"/>
      <c r="U1334" s="56"/>
      <c r="V1334" s="56"/>
      <c r="W1334" s="56"/>
      <c r="X1334" s="56"/>
      <c r="Y1334" s="56"/>
      <c r="Z1334" s="56"/>
      <c r="AA1334" s="56"/>
      <c r="AB1334" s="56"/>
      <c r="AC1334" s="56"/>
      <c r="AD1334" s="56"/>
      <c r="AE1334" s="56"/>
      <c r="AF1334" s="56"/>
      <c r="AG1334" s="56"/>
      <c r="AH1334" s="56"/>
      <c r="AI1334" s="56"/>
      <c r="AJ1334" s="56"/>
      <c r="AK1334" s="56"/>
      <c r="AL1334" s="56"/>
      <c r="AM1334" s="56"/>
      <c r="AN1334" s="56"/>
      <c r="AO1334" s="56"/>
      <c r="AP1334" s="56"/>
      <c r="AQ1334" s="56"/>
      <c r="AR1334" s="56"/>
      <c r="AS1334" s="56"/>
      <c r="AT1334" s="56"/>
      <c r="AU1334" s="56"/>
      <c r="AV1334" s="56"/>
      <c r="AW1334" s="56"/>
      <c r="AX1334" s="56"/>
      <c r="AY1334" s="56"/>
      <c r="AZ1334" s="56"/>
      <c r="BA1334" s="56"/>
      <c r="BB1334" s="56"/>
      <c r="BC1334" s="56"/>
      <c r="BD1334" s="56"/>
      <c r="BE1334" s="56"/>
      <c r="BF1334" s="56"/>
      <c r="BG1334" s="56"/>
      <c r="BH1334" s="56"/>
      <c r="BI1334" s="56"/>
      <c r="BJ1334" s="56"/>
      <c r="BK1334" s="56"/>
      <c r="BL1334" s="56"/>
      <c r="BM1334" s="56"/>
      <c r="BN1334" s="56"/>
      <c r="BO1334" s="56"/>
      <c r="BP1334" s="56"/>
      <c r="BQ1334" s="56"/>
      <c r="BR1334" s="56"/>
      <c r="BS1334" s="56"/>
      <c r="BT1334" s="56"/>
      <c r="BU1334" s="56"/>
      <c r="BV1334" s="56"/>
      <c r="BW1334" s="56"/>
      <c r="BX1334" s="56"/>
      <c r="BY1334" s="56"/>
      <c r="BZ1334" s="56"/>
      <c r="CA1334" s="56"/>
      <c r="CB1334" s="56"/>
      <c r="CC1334" s="56"/>
      <c r="CD1334" s="56"/>
      <c r="CE1334" s="56"/>
      <c r="CF1334" s="56"/>
      <c r="CG1334" s="56"/>
      <c r="CH1334" s="56"/>
      <c r="CI1334" s="56"/>
      <c r="CJ1334" s="56"/>
      <c r="CK1334" s="56"/>
      <c r="CL1334" s="56"/>
      <c r="CM1334" s="56"/>
      <c r="CN1334" s="56"/>
      <c r="CO1334" s="56"/>
      <c r="CP1334" s="56"/>
      <c r="CQ1334" s="56"/>
      <c r="CR1334" s="56"/>
      <c r="CS1334" s="56"/>
      <c r="CT1334" s="56"/>
      <c r="CU1334" s="56"/>
      <c r="CV1334" s="56"/>
      <c r="CW1334" s="56"/>
      <c r="CX1334" s="56"/>
      <c r="CY1334" s="56"/>
      <c r="CZ1334" s="56"/>
      <c r="DA1334" s="56"/>
      <c r="DB1334" s="56"/>
      <c r="DC1334" s="56"/>
      <c r="DD1334" s="56"/>
      <c r="DE1334" s="56"/>
      <c r="DF1334" s="56"/>
      <c r="DG1334" s="56"/>
      <c r="DH1334" s="56"/>
      <c r="DI1334" s="56"/>
      <c r="DJ1334" s="56"/>
      <c r="DK1334" s="56"/>
      <c r="DL1334" s="56"/>
      <c r="DM1334" s="56"/>
      <c r="DN1334" s="56"/>
      <c r="DO1334" s="56"/>
      <c r="DP1334" s="56"/>
      <c r="DQ1334" s="56"/>
      <c r="DR1334" s="56"/>
      <c r="DS1334" s="56"/>
      <c r="DT1334" s="56"/>
      <c r="DU1334" s="56"/>
      <c r="DV1334" s="56"/>
      <c r="DW1334" s="56"/>
      <c r="DX1334" s="56"/>
      <c r="DY1334" s="56"/>
      <c r="DZ1334" s="56"/>
      <c r="EA1334" s="56"/>
      <c r="EB1334" s="56"/>
      <c r="EC1334" s="56"/>
      <c r="ED1334" s="56"/>
      <c r="EE1334" s="56"/>
      <c r="EF1334" s="56"/>
      <c r="EG1334" s="56"/>
      <c r="EH1334" s="56"/>
      <c r="EI1334" s="56"/>
      <c r="EJ1334" s="56"/>
      <c r="EK1334" s="56"/>
      <c r="EL1334" s="56"/>
      <c r="EM1334" s="56"/>
      <c r="EN1334" s="56"/>
      <c r="EO1334" s="56"/>
      <c r="EP1334" s="56"/>
      <c r="EQ1334" s="56"/>
      <c r="ER1334" s="56"/>
      <c r="ES1334" s="56"/>
      <c r="ET1334" s="56"/>
      <c r="EU1334" s="56"/>
      <c r="EV1334" s="56"/>
      <c r="EW1334" s="56"/>
      <c r="EX1334" s="56"/>
      <c r="EY1334" s="56"/>
      <c r="EZ1334" s="56"/>
      <c r="FA1334" s="56"/>
      <c r="FB1334" s="56"/>
      <c r="FC1334" s="56"/>
      <c r="FD1334" s="56"/>
      <c r="FE1334" s="56"/>
      <c r="FF1334" s="56"/>
      <c r="FG1334" s="56"/>
      <c r="FH1334" s="56"/>
      <c r="FI1334" s="56"/>
      <c r="FJ1334" s="56"/>
      <c r="FK1334" s="56"/>
      <c r="FL1334" s="56"/>
      <c r="FM1334" s="56"/>
      <c r="FN1334" s="56"/>
      <c r="FO1334" s="56"/>
      <c r="FP1334" s="56"/>
      <c r="FQ1334" s="56"/>
      <c r="FR1334" s="56"/>
      <c r="FS1334" s="56"/>
      <c r="FT1334" s="56"/>
      <c r="FU1334" s="56"/>
      <c r="FV1334" s="56"/>
      <c r="FW1334" s="56"/>
      <c r="FX1334" s="56"/>
      <c r="FY1334" s="56"/>
      <c r="FZ1334" s="56"/>
      <c r="GA1334" s="56"/>
      <c r="GB1334" s="56"/>
      <c r="GC1334" s="56"/>
      <c r="GD1334" s="56"/>
      <c r="GE1334" s="56"/>
      <c r="GF1334" s="56"/>
    </row>
    <row r="1335" spans="1:48" s="18" customFormat="1" ht="16.5" customHeight="1">
      <c r="A1335" s="50"/>
      <c r="B1335" s="93" t="s">
        <v>669</v>
      </c>
      <c r="C1335" s="16"/>
      <c r="D1335" s="52"/>
      <c r="E1335" s="52"/>
      <c r="F1335" s="52"/>
      <c r="G1335" s="52"/>
      <c r="H1335" s="52"/>
      <c r="I1335" s="52"/>
      <c r="J1335" s="52"/>
      <c r="K1335" s="52"/>
      <c r="L1335" s="60">
        <v>1</v>
      </c>
      <c r="M1335" s="60" t="s">
        <v>556</v>
      </c>
      <c r="N1335" s="60" t="s">
        <v>556</v>
      </c>
      <c r="O1335" s="60" t="s">
        <v>556</v>
      </c>
      <c r="P1335" s="60" t="s">
        <v>556</v>
      </c>
      <c r="Q1335" s="23"/>
      <c r="R1335" s="23"/>
      <c r="S1335" s="17"/>
      <c r="T1335" s="47"/>
      <c r="U1335" s="47"/>
      <c r="V1335" s="47"/>
      <c r="W1335" s="47"/>
      <c r="X1335" s="47"/>
      <c r="Y1335" s="47"/>
      <c r="Z1335" s="47"/>
      <c r="AA1335" s="47"/>
      <c r="AB1335" s="47"/>
      <c r="AC1335" s="47"/>
      <c r="AD1335" s="47"/>
      <c r="AE1335" s="47"/>
      <c r="AF1335" s="47"/>
      <c r="AG1335" s="47"/>
      <c r="AH1335" s="47"/>
      <c r="AI1335" s="47"/>
      <c r="AJ1335" s="47"/>
      <c r="AK1335" s="47"/>
      <c r="AL1335" s="47"/>
      <c r="AM1335" s="47"/>
      <c r="AN1335" s="47"/>
      <c r="AO1335" s="47"/>
      <c r="AP1335" s="47"/>
      <c r="AQ1335" s="47"/>
      <c r="AR1335" s="47"/>
      <c r="AS1335" s="47"/>
      <c r="AT1335" s="47"/>
      <c r="AU1335" s="47"/>
      <c r="AV1335" s="47"/>
    </row>
    <row r="1336" spans="1:48" s="27" customFormat="1" ht="16.5" customHeight="1">
      <c r="A1336" s="12"/>
      <c r="B1336" s="97" t="s">
        <v>448</v>
      </c>
      <c r="C1336" s="29" t="s">
        <v>449</v>
      </c>
      <c r="D1336" s="51"/>
      <c r="E1336" s="51"/>
      <c r="F1336" s="51">
        <v>2</v>
      </c>
      <c r="G1336" s="51">
        <v>2</v>
      </c>
      <c r="H1336" s="51">
        <v>2</v>
      </c>
      <c r="I1336" s="51">
        <v>2</v>
      </c>
      <c r="J1336" s="51">
        <v>2</v>
      </c>
      <c r="K1336" s="51">
        <v>2</v>
      </c>
      <c r="L1336" s="40">
        <v>1</v>
      </c>
      <c r="M1336" s="40" t="s">
        <v>556</v>
      </c>
      <c r="N1336" s="40" t="s">
        <v>556</v>
      </c>
      <c r="O1336" s="40" t="s">
        <v>556</v>
      </c>
      <c r="P1336" s="40" t="s">
        <v>556</v>
      </c>
      <c r="Q1336" s="33"/>
      <c r="R1336" s="28"/>
      <c r="S1336" s="2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</row>
    <row r="1337" spans="1:48" s="18" customFormat="1" ht="16.5" customHeight="1">
      <c r="A1337" s="50"/>
      <c r="B1337" s="93" t="s">
        <v>670</v>
      </c>
      <c r="C1337" s="16"/>
      <c r="D1337" s="52"/>
      <c r="E1337" s="51"/>
      <c r="F1337" s="52"/>
      <c r="G1337" s="52"/>
      <c r="H1337" s="52"/>
      <c r="I1337" s="52"/>
      <c r="J1337" s="52"/>
      <c r="K1337" s="52"/>
      <c r="L1337" s="60">
        <v>1</v>
      </c>
      <c r="M1337" s="60" t="s">
        <v>556</v>
      </c>
      <c r="N1337" s="60" t="s">
        <v>556</v>
      </c>
      <c r="O1337" s="60" t="s">
        <v>556</v>
      </c>
      <c r="P1337" s="60" t="s">
        <v>556</v>
      </c>
      <c r="Q1337" s="23"/>
      <c r="R1337" s="23"/>
      <c r="S1337" s="17"/>
      <c r="T1337" s="47"/>
      <c r="U1337" s="47"/>
      <c r="V1337" s="47"/>
      <c r="W1337" s="47"/>
      <c r="X1337" s="47"/>
      <c r="Y1337" s="47"/>
      <c r="Z1337" s="47"/>
      <c r="AA1337" s="47"/>
      <c r="AB1337" s="47"/>
      <c r="AC1337" s="47"/>
      <c r="AD1337" s="47"/>
      <c r="AE1337" s="47"/>
      <c r="AF1337" s="47"/>
      <c r="AG1337" s="47"/>
      <c r="AH1337" s="47"/>
      <c r="AI1337" s="47"/>
      <c r="AJ1337" s="47"/>
      <c r="AK1337" s="47"/>
      <c r="AL1337" s="47"/>
      <c r="AM1337" s="47"/>
      <c r="AN1337" s="47"/>
      <c r="AO1337" s="47"/>
      <c r="AP1337" s="47"/>
      <c r="AQ1337" s="47"/>
      <c r="AR1337" s="47"/>
      <c r="AS1337" s="47"/>
      <c r="AT1337" s="47"/>
      <c r="AU1337" s="47"/>
      <c r="AV1337" s="47"/>
    </row>
    <row r="1338" spans="1:48" s="27" customFormat="1" ht="16.5" customHeight="1">
      <c r="A1338" s="12"/>
      <c r="B1338" s="97" t="s">
        <v>561</v>
      </c>
      <c r="C1338" s="29" t="s">
        <v>1053</v>
      </c>
      <c r="D1338" s="51"/>
      <c r="E1338" s="51"/>
      <c r="F1338" s="51">
        <v>2</v>
      </c>
      <c r="G1338" s="51">
        <v>2</v>
      </c>
      <c r="H1338" s="51">
        <v>2</v>
      </c>
      <c r="I1338" s="51">
        <v>2</v>
      </c>
      <c r="J1338" s="51">
        <v>2</v>
      </c>
      <c r="K1338" s="51">
        <v>2</v>
      </c>
      <c r="L1338" s="40">
        <v>1</v>
      </c>
      <c r="M1338" s="40" t="s">
        <v>556</v>
      </c>
      <c r="N1338" s="40" t="s">
        <v>556</v>
      </c>
      <c r="O1338" s="40" t="s">
        <v>556</v>
      </c>
      <c r="P1338" s="40" t="s">
        <v>556</v>
      </c>
      <c r="Q1338" s="30"/>
      <c r="R1338" s="30"/>
      <c r="S1338" s="30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</row>
    <row r="1339" spans="1:19" ht="15" customHeight="1">
      <c r="A1339" s="399" t="s">
        <v>661</v>
      </c>
      <c r="B1339" s="399"/>
      <c r="C1339" s="399"/>
      <c r="D1339" s="399"/>
      <c r="E1339" s="399"/>
      <c r="F1339" s="399"/>
      <c r="G1339" s="399"/>
      <c r="H1339" s="399"/>
      <c r="I1339" s="399"/>
      <c r="J1339" s="399"/>
      <c r="K1339" s="399"/>
      <c r="L1339" s="399"/>
      <c r="M1339" s="399"/>
      <c r="N1339" s="399"/>
      <c r="O1339" s="399"/>
      <c r="P1339" s="399"/>
      <c r="Q1339" s="20"/>
      <c r="R1339" s="20"/>
      <c r="S1339" s="7"/>
    </row>
    <row r="1340" spans="1:19" ht="13.5" customHeight="1">
      <c r="A1340" s="400" t="s">
        <v>676</v>
      </c>
      <c r="B1340" s="400"/>
      <c r="C1340" s="400"/>
      <c r="D1340" s="400"/>
      <c r="E1340" s="400"/>
      <c r="F1340" s="400"/>
      <c r="G1340" s="400"/>
      <c r="H1340" s="400"/>
      <c r="I1340" s="400"/>
      <c r="J1340" s="400"/>
      <c r="K1340" s="400"/>
      <c r="L1340" s="400"/>
      <c r="M1340" s="400"/>
      <c r="N1340" s="400"/>
      <c r="O1340" s="400"/>
      <c r="P1340" s="400"/>
      <c r="Q1340" s="21"/>
      <c r="R1340" s="21"/>
      <c r="S1340" s="8"/>
    </row>
    <row r="1341" spans="1:188" s="57" customFormat="1" ht="18" customHeight="1">
      <c r="A1341" s="13">
        <v>70</v>
      </c>
      <c r="B1341" s="92" t="s">
        <v>231</v>
      </c>
      <c r="C1341" s="45"/>
      <c r="D1341" s="44">
        <v>445</v>
      </c>
      <c r="E1341" s="44">
        <v>92</v>
      </c>
      <c r="F1341" s="44">
        <v>480</v>
      </c>
      <c r="G1341" s="44">
        <v>475</v>
      </c>
      <c r="H1341" s="44">
        <v>475</v>
      </c>
      <c r="I1341" s="44">
        <v>475</v>
      </c>
      <c r="J1341" s="44"/>
      <c r="K1341" s="44">
        <v>475</v>
      </c>
      <c r="L1341" s="44">
        <f>SUM(L1342,L1354)</f>
        <v>20</v>
      </c>
      <c r="M1341" s="44">
        <f>SUM(M1342,M1354)</f>
        <v>15</v>
      </c>
      <c r="N1341" s="44">
        <f>SUM(N1342,N1354)</f>
        <v>11</v>
      </c>
      <c r="O1341" s="44">
        <f>SUM(O1342,O1354)</f>
        <v>9</v>
      </c>
      <c r="P1341" s="44">
        <f>SUM(P1342,P1354)</f>
        <v>6</v>
      </c>
      <c r="Q1341" s="54" t="s">
        <v>648</v>
      </c>
      <c r="R1341" s="54">
        <v>6</v>
      </c>
      <c r="S1341" s="55" t="s">
        <v>942</v>
      </c>
      <c r="T1341" s="56"/>
      <c r="U1341" s="56"/>
      <c r="V1341" s="56"/>
      <c r="W1341" s="56"/>
      <c r="X1341" s="56"/>
      <c r="Y1341" s="56"/>
      <c r="Z1341" s="56"/>
      <c r="AA1341" s="56"/>
      <c r="AB1341" s="56"/>
      <c r="AC1341" s="56"/>
      <c r="AD1341" s="56"/>
      <c r="AE1341" s="56"/>
      <c r="AF1341" s="56"/>
      <c r="AG1341" s="56"/>
      <c r="AH1341" s="56"/>
      <c r="AI1341" s="56"/>
      <c r="AJ1341" s="56"/>
      <c r="AK1341" s="56"/>
      <c r="AL1341" s="56"/>
      <c r="AM1341" s="56"/>
      <c r="AN1341" s="56"/>
      <c r="AO1341" s="56"/>
      <c r="AP1341" s="56"/>
      <c r="AQ1341" s="56"/>
      <c r="AR1341" s="56"/>
      <c r="AS1341" s="56"/>
      <c r="AT1341" s="56"/>
      <c r="AU1341" s="56"/>
      <c r="AV1341" s="56"/>
      <c r="AW1341" s="56"/>
      <c r="AX1341" s="56"/>
      <c r="AY1341" s="56"/>
      <c r="AZ1341" s="56"/>
      <c r="BA1341" s="56"/>
      <c r="BB1341" s="56"/>
      <c r="BC1341" s="56"/>
      <c r="BD1341" s="56"/>
      <c r="BE1341" s="56"/>
      <c r="BF1341" s="56"/>
      <c r="BG1341" s="56"/>
      <c r="BH1341" s="56"/>
      <c r="BI1341" s="56"/>
      <c r="BJ1341" s="56"/>
      <c r="BK1341" s="56"/>
      <c r="BL1341" s="56"/>
      <c r="BM1341" s="56"/>
      <c r="BN1341" s="56"/>
      <c r="BO1341" s="56"/>
      <c r="BP1341" s="56"/>
      <c r="BQ1341" s="56"/>
      <c r="BR1341" s="56"/>
      <c r="BS1341" s="56"/>
      <c r="BT1341" s="56"/>
      <c r="BU1341" s="56"/>
      <c r="BV1341" s="56"/>
      <c r="BW1341" s="56"/>
      <c r="BX1341" s="56"/>
      <c r="BY1341" s="56"/>
      <c r="BZ1341" s="56"/>
      <c r="CA1341" s="56"/>
      <c r="CB1341" s="56"/>
      <c r="CC1341" s="56"/>
      <c r="CD1341" s="56"/>
      <c r="CE1341" s="56"/>
      <c r="CF1341" s="56"/>
      <c r="CG1341" s="56"/>
      <c r="CH1341" s="56"/>
      <c r="CI1341" s="56"/>
      <c r="CJ1341" s="56"/>
      <c r="CK1341" s="56"/>
      <c r="CL1341" s="56"/>
      <c r="CM1341" s="56"/>
      <c r="CN1341" s="56"/>
      <c r="CO1341" s="56"/>
      <c r="CP1341" s="56"/>
      <c r="CQ1341" s="56"/>
      <c r="CR1341" s="56"/>
      <c r="CS1341" s="56"/>
      <c r="CT1341" s="56"/>
      <c r="CU1341" s="56"/>
      <c r="CV1341" s="56"/>
      <c r="CW1341" s="56"/>
      <c r="CX1341" s="56"/>
      <c r="CY1341" s="56"/>
      <c r="CZ1341" s="56"/>
      <c r="DA1341" s="56"/>
      <c r="DB1341" s="56"/>
      <c r="DC1341" s="56"/>
      <c r="DD1341" s="56"/>
      <c r="DE1341" s="56"/>
      <c r="DF1341" s="56"/>
      <c r="DG1341" s="56"/>
      <c r="DH1341" s="56"/>
      <c r="DI1341" s="56"/>
      <c r="DJ1341" s="56"/>
      <c r="DK1341" s="56"/>
      <c r="DL1341" s="56"/>
      <c r="DM1341" s="56"/>
      <c r="DN1341" s="56"/>
      <c r="DO1341" s="56"/>
      <c r="DP1341" s="56"/>
      <c r="DQ1341" s="56"/>
      <c r="DR1341" s="56"/>
      <c r="DS1341" s="56"/>
      <c r="DT1341" s="56"/>
      <c r="DU1341" s="56"/>
      <c r="DV1341" s="56"/>
      <c r="DW1341" s="56"/>
      <c r="DX1341" s="56"/>
      <c r="DY1341" s="56"/>
      <c r="DZ1341" s="56"/>
      <c r="EA1341" s="56"/>
      <c r="EB1341" s="56"/>
      <c r="EC1341" s="56"/>
      <c r="ED1341" s="56"/>
      <c r="EE1341" s="56"/>
      <c r="EF1341" s="56"/>
      <c r="EG1341" s="56"/>
      <c r="EH1341" s="56"/>
      <c r="EI1341" s="56"/>
      <c r="EJ1341" s="56"/>
      <c r="EK1341" s="56"/>
      <c r="EL1341" s="56"/>
      <c r="EM1341" s="56"/>
      <c r="EN1341" s="56"/>
      <c r="EO1341" s="56"/>
      <c r="EP1341" s="56"/>
      <c r="EQ1341" s="56"/>
      <c r="ER1341" s="56"/>
      <c r="ES1341" s="56"/>
      <c r="ET1341" s="56"/>
      <c r="EU1341" s="56"/>
      <c r="EV1341" s="56"/>
      <c r="EW1341" s="56"/>
      <c r="EX1341" s="56"/>
      <c r="EY1341" s="56"/>
      <c r="EZ1341" s="56"/>
      <c r="FA1341" s="56"/>
      <c r="FB1341" s="56"/>
      <c r="FC1341" s="56"/>
      <c r="FD1341" s="56"/>
      <c r="FE1341" s="56"/>
      <c r="FF1341" s="56"/>
      <c r="FG1341" s="56"/>
      <c r="FH1341" s="56"/>
      <c r="FI1341" s="56"/>
      <c r="FJ1341" s="56"/>
      <c r="FK1341" s="56"/>
      <c r="FL1341" s="56"/>
      <c r="FM1341" s="56"/>
      <c r="FN1341" s="56"/>
      <c r="FO1341" s="56"/>
      <c r="FP1341" s="56"/>
      <c r="FQ1341" s="56"/>
      <c r="FR1341" s="56"/>
      <c r="FS1341" s="56"/>
      <c r="FT1341" s="56"/>
      <c r="FU1341" s="56"/>
      <c r="FV1341" s="56"/>
      <c r="FW1341" s="56"/>
      <c r="FX1341" s="56"/>
      <c r="FY1341" s="56"/>
      <c r="FZ1341" s="56"/>
      <c r="GA1341" s="56"/>
      <c r="GB1341" s="56"/>
      <c r="GC1341" s="56"/>
      <c r="GD1341" s="56"/>
      <c r="GE1341" s="56"/>
      <c r="GF1341" s="56"/>
    </row>
    <row r="1342" spans="1:57" s="43" customFormat="1" ht="17.25" customHeight="1">
      <c r="A1342" s="13"/>
      <c r="B1342" s="104" t="s">
        <v>669</v>
      </c>
      <c r="C1342" s="15"/>
      <c r="D1342" s="223"/>
      <c r="E1342" s="223"/>
      <c r="F1342" s="223"/>
      <c r="G1342" s="223"/>
      <c r="H1342" s="223"/>
      <c r="I1342" s="223"/>
      <c r="J1342" s="223"/>
      <c r="K1342" s="223"/>
      <c r="L1342" s="122">
        <f>SUM(L1343:L1353)</f>
        <v>15</v>
      </c>
      <c r="M1342" s="122">
        <f>SUM(M1343:M1353)</f>
        <v>12</v>
      </c>
      <c r="N1342" s="122">
        <f>SUM(N1343:N1353)</f>
        <v>8</v>
      </c>
      <c r="O1342" s="122">
        <f>SUM(O1343:O1353)</f>
        <v>7</v>
      </c>
      <c r="P1342" s="122">
        <f>SUM(P1343:P1353)</f>
        <v>5</v>
      </c>
      <c r="Q1342" s="70"/>
      <c r="R1342" s="41"/>
      <c r="S1342" s="41"/>
      <c r="T1342" s="46"/>
      <c r="U1342" s="46"/>
      <c r="V1342" s="46"/>
      <c r="W1342" s="46"/>
      <c r="X1342" s="46"/>
      <c r="Y1342" s="46"/>
      <c r="Z1342" s="46"/>
      <c r="AA1342" s="46"/>
      <c r="AB1342" s="46"/>
      <c r="AC1342" s="46"/>
      <c r="AD1342" s="46"/>
      <c r="AE1342" s="46"/>
      <c r="AF1342" s="46"/>
      <c r="AG1342" s="46"/>
      <c r="AH1342" s="46"/>
      <c r="AI1342" s="46"/>
      <c r="AJ1342" s="46"/>
      <c r="AK1342" s="46"/>
      <c r="AL1342" s="46"/>
      <c r="AM1342" s="46"/>
      <c r="AN1342" s="46"/>
      <c r="AO1342" s="46"/>
      <c r="AP1342" s="46"/>
      <c r="AQ1342" s="46"/>
      <c r="AR1342" s="46"/>
      <c r="AS1342" s="46"/>
      <c r="AT1342" s="46"/>
      <c r="AU1342" s="46"/>
      <c r="AV1342" s="46"/>
      <c r="BA1342" s="49"/>
      <c r="BB1342" s="42"/>
      <c r="BC1342" s="42"/>
      <c r="BD1342" s="42"/>
      <c r="BE1342" s="42"/>
    </row>
    <row r="1343" spans="1:57" s="43" customFormat="1" ht="18" customHeight="1">
      <c r="A1343" s="13"/>
      <c r="B1343" s="97" t="s">
        <v>521</v>
      </c>
      <c r="C1343" s="29" t="s">
        <v>522</v>
      </c>
      <c r="D1343" s="40"/>
      <c r="E1343" s="40"/>
      <c r="F1343" s="40">
        <v>9</v>
      </c>
      <c r="G1343" s="40">
        <v>19</v>
      </c>
      <c r="H1343" s="40">
        <v>18</v>
      </c>
      <c r="I1343" s="40">
        <v>18</v>
      </c>
      <c r="J1343" s="40"/>
      <c r="K1343" s="40">
        <v>17</v>
      </c>
      <c r="L1343" s="40">
        <v>2</v>
      </c>
      <c r="M1343" s="40">
        <v>2</v>
      </c>
      <c r="N1343" s="40">
        <v>1</v>
      </c>
      <c r="O1343" s="40">
        <v>2</v>
      </c>
      <c r="P1343" s="40">
        <v>1</v>
      </c>
      <c r="Q1343" s="70"/>
      <c r="R1343" s="41"/>
      <c r="S1343" s="41"/>
      <c r="T1343" s="46"/>
      <c r="U1343" s="46"/>
      <c r="V1343" s="46"/>
      <c r="W1343" s="46"/>
      <c r="X1343" s="46"/>
      <c r="Y1343" s="46"/>
      <c r="Z1343" s="46"/>
      <c r="AA1343" s="46"/>
      <c r="AB1343" s="46"/>
      <c r="AC1343" s="46"/>
      <c r="AD1343" s="46"/>
      <c r="AE1343" s="46"/>
      <c r="AF1343" s="46"/>
      <c r="AG1343" s="46"/>
      <c r="AH1343" s="46"/>
      <c r="AI1343" s="46"/>
      <c r="AJ1343" s="46"/>
      <c r="AK1343" s="46"/>
      <c r="AL1343" s="46"/>
      <c r="AM1343" s="46"/>
      <c r="AN1343" s="46"/>
      <c r="AO1343" s="46"/>
      <c r="AP1343" s="46"/>
      <c r="AQ1343" s="46"/>
      <c r="AR1343" s="46"/>
      <c r="AS1343" s="46"/>
      <c r="AT1343" s="46"/>
      <c r="AU1343" s="46"/>
      <c r="AV1343" s="46"/>
      <c r="BA1343" s="49"/>
      <c r="BB1343" s="42"/>
      <c r="BC1343" s="42"/>
      <c r="BD1343" s="42"/>
      <c r="BE1343" s="42"/>
    </row>
    <row r="1344" spans="1:57" s="43" customFormat="1" ht="18.75" customHeight="1">
      <c r="A1344" s="13"/>
      <c r="B1344" s="105" t="s">
        <v>421</v>
      </c>
      <c r="C1344" s="15" t="s">
        <v>1315</v>
      </c>
      <c r="D1344" s="40"/>
      <c r="E1344" s="51"/>
      <c r="F1344" s="40">
        <v>6</v>
      </c>
      <c r="G1344" s="40">
        <v>6</v>
      </c>
      <c r="H1344" s="40">
        <v>6</v>
      </c>
      <c r="I1344" s="40">
        <v>5</v>
      </c>
      <c r="J1344" s="40"/>
      <c r="K1344" s="40">
        <v>5</v>
      </c>
      <c r="L1344" s="40">
        <v>1</v>
      </c>
      <c r="M1344" s="40">
        <v>1</v>
      </c>
      <c r="N1344" s="40">
        <v>1</v>
      </c>
      <c r="O1344" s="40">
        <v>1</v>
      </c>
      <c r="P1344" s="40">
        <v>1</v>
      </c>
      <c r="Q1344" s="70"/>
      <c r="R1344" s="41"/>
      <c r="S1344" s="41"/>
      <c r="T1344" s="46"/>
      <c r="U1344" s="46"/>
      <c r="V1344" s="46"/>
      <c r="W1344" s="46"/>
      <c r="X1344" s="46"/>
      <c r="Y1344" s="46"/>
      <c r="Z1344" s="46"/>
      <c r="AA1344" s="46"/>
      <c r="AB1344" s="46"/>
      <c r="AC1344" s="46"/>
      <c r="AD1344" s="46"/>
      <c r="AE1344" s="46"/>
      <c r="AF1344" s="46"/>
      <c r="AG1344" s="46"/>
      <c r="AH1344" s="46"/>
      <c r="AI1344" s="46"/>
      <c r="AJ1344" s="46"/>
      <c r="AK1344" s="46"/>
      <c r="AL1344" s="46"/>
      <c r="AM1344" s="46"/>
      <c r="AN1344" s="46"/>
      <c r="AO1344" s="46"/>
      <c r="AP1344" s="46"/>
      <c r="AQ1344" s="46"/>
      <c r="AR1344" s="46"/>
      <c r="AS1344" s="46"/>
      <c r="AT1344" s="46"/>
      <c r="AU1344" s="46"/>
      <c r="AV1344" s="46"/>
      <c r="BA1344" s="49"/>
      <c r="BB1344" s="42"/>
      <c r="BC1344" s="42"/>
      <c r="BD1344" s="42"/>
      <c r="BE1344" s="42"/>
    </row>
    <row r="1345" spans="1:57" s="43" customFormat="1" ht="18.75" customHeight="1">
      <c r="A1345" s="13"/>
      <c r="B1345" s="105" t="s">
        <v>1000</v>
      </c>
      <c r="C1345" s="15" t="s">
        <v>1001</v>
      </c>
      <c r="D1345" s="40"/>
      <c r="E1345" s="51"/>
      <c r="F1345" s="40">
        <v>20</v>
      </c>
      <c r="G1345" s="40">
        <v>20</v>
      </c>
      <c r="H1345" s="40">
        <v>20</v>
      </c>
      <c r="I1345" s="40">
        <v>20</v>
      </c>
      <c r="J1345" s="40"/>
      <c r="K1345" s="40">
        <v>20</v>
      </c>
      <c r="L1345" s="40">
        <v>4</v>
      </c>
      <c r="M1345" s="40">
        <v>4</v>
      </c>
      <c r="N1345" s="40">
        <v>3</v>
      </c>
      <c r="O1345" s="40">
        <v>3</v>
      </c>
      <c r="P1345" s="40">
        <v>3</v>
      </c>
      <c r="Q1345" s="70"/>
      <c r="R1345" s="41"/>
      <c r="S1345" s="41"/>
      <c r="T1345" s="46"/>
      <c r="U1345" s="46"/>
      <c r="V1345" s="46"/>
      <c r="W1345" s="46"/>
      <c r="X1345" s="46"/>
      <c r="Y1345" s="46"/>
      <c r="Z1345" s="46"/>
      <c r="AA1345" s="46"/>
      <c r="AB1345" s="46"/>
      <c r="AC1345" s="46"/>
      <c r="AD1345" s="46"/>
      <c r="AE1345" s="46"/>
      <c r="AF1345" s="46"/>
      <c r="AG1345" s="46"/>
      <c r="AH1345" s="46"/>
      <c r="AI1345" s="46"/>
      <c r="AJ1345" s="46"/>
      <c r="AK1345" s="46"/>
      <c r="AL1345" s="46"/>
      <c r="AM1345" s="46"/>
      <c r="AN1345" s="46"/>
      <c r="AO1345" s="46"/>
      <c r="AP1345" s="46"/>
      <c r="AQ1345" s="46"/>
      <c r="AR1345" s="46"/>
      <c r="AS1345" s="46"/>
      <c r="AT1345" s="46"/>
      <c r="AU1345" s="46"/>
      <c r="AV1345" s="46"/>
      <c r="BA1345" s="49"/>
      <c r="BB1345" s="42"/>
      <c r="BC1345" s="42"/>
      <c r="BD1345" s="42"/>
      <c r="BE1345" s="42"/>
    </row>
    <row r="1346" spans="1:57" s="43" customFormat="1" ht="18.75" customHeight="1">
      <c r="A1346" s="13"/>
      <c r="B1346" s="97" t="s">
        <v>797</v>
      </c>
      <c r="C1346" s="29" t="s">
        <v>798</v>
      </c>
      <c r="D1346" s="40"/>
      <c r="E1346" s="51"/>
      <c r="F1346" s="40">
        <v>8</v>
      </c>
      <c r="G1346" s="40">
        <v>8</v>
      </c>
      <c r="H1346" s="40">
        <v>8</v>
      </c>
      <c r="I1346" s="40">
        <v>8</v>
      </c>
      <c r="J1346" s="40"/>
      <c r="K1346" s="40">
        <v>8</v>
      </c>
      <c r="L1346" s="40" t="s">
        <v>556</v>
      </c>
      <c r="M1346" s="40">
        <v>2</v>
      </c>
      <c r="N1346" s="40">
        <v>2</v>
      </c>
      <c r="O1346" s="40">
        <v>1</v>
      </c>
      <c r="P1346" s="40" t="s">
        <v>556</v>
      </c>
      <c r="Q1346" s="70"/>
      <c r="R1346" s="41"/>
      <c r="S1346" s="41"/>
      <c r="T1346" s="46"/>
      <c r="U1346" s="46"/>
      <c r="V1346" s="46"/>
      <c r="W1346" s="46"/>
      <c r="X1346" s="46"/>
      <c r="Y1346" s="46"/>
      <c r="Z1346" s="46"/>
      <c r="AA1346" s="46"/>
      <c r="AB1346" s="46"/>
      <c r="AC1346" s="46"/>
      <c r="AD1346" s="46"/>
      <c r="AE1346" s="46"/>
      <c r="AF1346" s="46"/>
      <c r="AG1346" s="46"/>
      <c r="AH1346" s="46"/>
      <c r="AI1346" s="46"/>
      <c r="AJ1346" s="46"/>
      <c r="AK1346" s="46"/>
      <c r="AL1346" s="46"/>
      <c r="AM1346" s="46"/>
      <c r="AN1346" s="46"/>
      <c r="AO1346" s="46"/>
      <c r="AP1346" s="46"/>
      <c r="AQ1346" s="46"/>
      <c r="AR1346" s="46"/>
      <c r="AS1346" s="46"/>
      <c r="AT1346" s="46"/>
      <c r="AU1346" s="46"/>
      <c r="AV1346" s="46"/>
      <c r="BA1346" s="49"/>
      <c r="BB1346" s="42"/>
      <c r="BC1346" s="42"/>
      <c r="BD1346" s="42"/>
      <c r="BE1346" s="42"/>
    </row>
    <row r="1347" spans="1:57" s="43" customFormat="1" ht="18.75" customHeight="1">
      <c r="A1347" s="13"/>
      <c r="B1347" s="105" t="s">
        <v>786</v>
      </c>
      <c r="C1347" s="15" t="s">
        <v>1296</v>
      </c>
      <c r="D1347" s="40"/>
      <c r="E1347" s="51"/>
      <c r="F1347" s="40"/>
      <c r="G1347" s="40"/>
      <c r="H1347" s="40"/>
      <c r="I1347" s="40"/>
      <c r="J1347" s="40"/>
      <c r="K1347" s="40"/>
      <c r="L1347" s="40">
        <v>1</v>
      </c>
      <c r="M1347" s="40" t="s">
        <v>556</v>
      </c>
      <c r="N1347" s="40" t="s">
        <v>556</v>
      </c>
      <c r="O1347" s="40" t="s">
        <v>556</v>
      </c>
      <c r="P1347" s="40" t="s">
        <v>556</v>
      </c>
      <c r="Q1347" s="70"/>
      <c r="R1347" s="41"/>
      <c r="S1347" s="41"/>
      <c r="T1347" s="46"/>
      <c r="U1347" s="46"/>
      <c r="V1347" s="46"/>
      <c r="W1347" s="46"/>
      <c r="X1347" s="46"/>
      <c r="Y1347" s="46"/>
      <c r="Z1347" s="46"/>
      <c r="AA1347" s="46"/>
      <c r="AB1347" s="46"/>
      <c r="AC1347" s="46"/>
      <c r="AD1347" s="46"/>
      <c r="AE1347" s="46"/>
      <c r="AF1347" s="46"/>
      <c r="AG1347" s="46"/>
      <c r="AH1347" s="46"/>
      <c r="AI1347" s="46"/>
      <c r="AJ1347" s="46"/>
      <c r="AK1347" s="46"/>
      <c r="AL1347" s="46"/>
      <c r="AM1347" s="46"/>
      <c r="AN1347" s="46"/>
      <c r="AO1347" s="46"/>
      <c r="AP1347" s="46"/>
      <c r="AQ1347" s="46"/>
      <c r="AR1347" s="46"/>
      <c r="AS1347" s="46"/>
      <c r="AT1347" s="46"/>
      <c r="AU1347" s="46"/>
      <c r="AV1347" s="46"/>
      <c r="BA1347" s="49"/>
      <c r="BB1347" s="42"/>
      <c r="BC1347" s="42"/>
      <c r="BD1347" s="42"/>
      <c r="BE1347" s="42"/>
    </row>
    <row r="1348" spans="1:57" s="43" customFormat="1" ht="18.75" customHeight="1">
      <c r="A1348" s="13"/>
      <c r="B1348" s="105" t="s">
        <v>440</v>
      </c>
      <c r="C1348" s="15" t="s">
        <v>441</v>
      </c>
      <c r="D1348" s="40"/>
      <c r="E1348" s="51"/>
      <c r="F1348" s="40"/>
      <c r="G1348" s="40"/>
      <c r="H1348" s="40"/>
      <c r="I1348" s="40"/>
      <c r="J1348" s="40"/>
      <c r="K1348" s="40"/>
      <c r="L1348" s="40">
        <v>2</v>
      </c>
      <c r="M1348" s="40" t="s">
        <v>556</v>
      </c>
      <c r="N1348" s="40" t="s">
        <v>556</v>
      </c>
      <c r="O1348" s="40" t="s">
        <v>556</v>
      </c>
      <c r="P1348" s="40" t="s">
        <v>556</v>
      </c>
      <c r="Q1348" s="70"/>
      <c r="R1348" s="41"/>
      <c r="S1348" s="41"/>
      <c r="T1348" s="46"/>
      <c r="U1348" s="46"/>
      <c r="V1348" s="46"/>
      <c r="W1348" s="46"/>
      <c r="X1348" s="46"/>
      <c r="Y1348" s="46"/>
      <c r="Z1348" s="46"/>
      <c r="AA1348" s="46"/>
      <c r="AB1348" s="46"/>
      <c r="AC1348" s="46"/>
      <c r="AD1348" s="46"/>
      <c r="AE1348" s="46"/>
      <c r="AF1348" s="46"/>
      <c r="AG1348" s="46"/>
      <c r="AH1348" s="46"/>
      <c r="AI1348" s="46"/>
      <c r="AJ1348" s="46"/>
      <c r="AK1348" s="46"/>
      <c r="AL1348" s="46"/>
      <c r="AM1348" s="46"/>
      <c r="AN1348" s="46"/>
      <c r="AO1348" s="46"/>
      <c r="AP1348" s="46"/>
      <c r="AQ1348" s="46"/>
      <c r="AR1348" s="46"/>
      <c r="AS1348" s="46"/>
      <c r="AT1348" s="46"/>
      <c r="AU1348" s="46"/>
      <c r="AV1348" s="46"/>
      <c r="BA1348" s="49"/>
      <c r="BB1348" s="42"/>
      <c r="BC1348" s="42"/>
      <c r="BD1348" s="42"/>
      <c r="BE1348" s="42"/>
    </row>
    <row r="1349" spans="1:57" s="43" customFormat="1" ht="18.75" customHeight="1">
      <c r="A1349" s="13"/>
      <c r="B1349" s="97" t="s">
        <v>1316</v>
      </c>
      <c r="C1349" s="29" t="s">
        <v>1317</v>
      </c>
      <c r="D1349" s="40"/>
      <c r="E1349" s="51"/>
      <c r="F1349" s="40"/>
      <c r="G1349" s="40"/>
      <c r="H1349" s="40"/>
      <c r="I1349" s="40"/>
      <c r="J1349" s="40"/>
      <c r="K1349" s="40"/>
      <c r="L1349" s="40" t="s">
        <v>556</v>
      </c>
      <c r="M1349" s="40">
        <v>1</v>
      </c>
      <c r="N1349" s="40" t="s">
        <v>556</v>
      </c>
      <c r="O1349" s="40" t="s">
        <v>556</v>
      </c>
      <c r="P1349" s="40" t="s">
        <v>556</v>
      </c>
      <c r="Q1349" s="70"/>
      <c r="R1349" s="41"/>
      <c r="S1349" s="41"/>
      <c r="T1349" s="46"/>
      <c r="U1349" s="46"/>
      <c r="V1349" s="46"/>
      <c r="W1349" s="46"/>
      <c r="X1349" s="46"/>
      <c r="Y1349" s="46"/>
      <c r="Z1349" s="46"/>
      <c r="AA1349" s="46"/>
      <c r="AB1349" s="46"/>
      <c r="AC1349" s="46"/>
      <c r="AD1349" s="46"/>
      <c r="AE1349" s="46"/>
      <c r="AF1349" s="46"/>
      <c r="AG1349" s="46"/>
      <c r="AH1349" s="46"/>
      <c r="AI1349" s="46"/>
      <c r="AJ1349" s="46"/>
      <c r="AK1349" s="46"/>
      <c r="AL1349" s="46"/>
      <c r="AM1349" s="46"/>
      <c r="AN1349" s="46"/>
      <c r="AO1349" s="46"/>
      <c r="AP1349" s="46"/>
      <c r="AQ1349" s="46"/>
      <c r="AR1349" s="46"/>
      <c r="AS1349" s="46"/>
      <c r="AT1349" s="46"/>
      <c r="AU1349" s="46"/>
      <c r="AV1349" s="46"/>
      <c r="BA1349" s="49"/>
      <c r="BB1349" s="42"/>
      <c r="BC1349" s="42"/>
      <c r="BD1349" s="42"/>
      <c r="BE1349" s="42"/>
    </row>
    <row r="1350" spans="1:57" s="43" customFormat="1" ht="18.75" customHeight="1">
      <c r="A1350" s="13"/>
      <c r="B1350" s="105" t="s">
        <v>1329</v>
      </c>
      <c r="C1350" s="66" t="s">
        <v>1330</v>
      </c>
      <c r="D1350" s="40"/>
      <c r="E1350" s="51"/>
      <c r="F1350" s="40"/>
      <c r="G1350" s="40"/>
      <c r="H1350" s="40"/>
      <c r="I1350" s="40"/>
      <c r="J1350" s="40"/>
      <c r="K1350" s="40"/>
      <c r="L1350" s="40">
        <v>1</v>
      </c>
      <c r="M1350" s="40">
        <v>1</v>
      </c>
      <c r="N1350" s="40" t="s">
        <v>556</v>
      </c>
      <c r="O1350" s="40" t="s">
        <v>556</v>
      </c>
      <c r="P1350" s="40" t="s">
        <v>556</v>
      </c>
      <c r="Q1350" s="70"/>
      <c r="R1350" s="41"/>
      <c r="S1350" s="41"/>
      <c r="T1350" s="46"/>
      <c r="U1350" s="46"/>
      <c r="V1350" s="46"/>
      <c r="W1350" s="46"/>
      <c r="X1350" s="46"/>
      <c r="Y1350" s="46"/>
      <c r="Z1350" s="46"/>
      <c r="AA1350" s="46"/>
      <c r="AB1350" s="46"/>
      <c r="AC1350" s="46"/>
      <c r="AD1350" s="46"/>
      <c r="AE1350" s="46"/>
      <c r="AF1350" s="46"/>
      <c r="AG1350" s="46"/>
      <c r="AH1350" s="46"/>
      <c r="AI1350" s="46"/>
      <c r="AJ1350" s="46"/>
      <c r="AK1350" s="46"/>
      <c r="AL1350" s="46"/>
      <c r="AM1350" s="46"/>
      <c r="AN1350" s="46"/>
      <c r="AO1350" s="46"/>
      <c r="AP1350" s="46"/>
      <c r="AQ1350" s="46"/>
      <c r="AR1350" s="46"/>
      <c r="AS1350" s="46"/>
      <c r="AT1350" s="46"/>
      <c r="AU1350" s="46"/>
      <c r="AV1350" s="46"/>
      <c r="BA1350" s="49"/>
      <c r="BB1350" s="42"/>
      <c r="BC1350" s="42"/>
      <c r="BD1350" s="42"/>
      <c r="BE1350" s="42"/>
    </row>
    <row r="1351" spans="1:57" s="43" customFormat="1" ht="18.75" customHeight="1">
      <c r="A1351" s="13"/>
      <c r="B1351" s="105" t="s">
        <v>980</v>
      </c>
      <c r="C1351" s="15" t="s">
        <v>981</v>
      </c>
      <c r="D1351" s="40"/>
      <c r="E1351" s="51"/>
      <c r="F1351" s="40">
        <v>4</v>
      </c>
      <c r="G1351" s="40">
        <v>4</v>
      </c>
      <c r="H1351" s="40">
        <v>4</v>
      </c>
      <c r="I1351" s="40">
        <v>4</v>
      </c>
      <c r="J1351" s="40"/>
      <c r="K1351" s="40">
        <v>4</v>
      </c>
      <c r="L1351" s="40">
        <v>1</v>
      </c>
      <c r="M1351" s="40">
        <v>1</v>
      </c>
      <c r="N1351" s="40">
        <v>1</v>
      </c>
      <c r="O1351" s="40" t="s">
        <v>556</v>
      </c>
      <c r="P1351" s="40" t="s">
        <v>556</v>
      </c>
      <c r="Q1351" s="70"/>
      <c r="R1351" s="41"/>
      <c r="S1351" s="41"/>
      <c r="T1351" s="46"/>
      <c r="U1351" s="46"/>
      <c r="V1351" s="46"/>
      <c r="W1351" s="46"/>
      <c r="X1351" s="46"/>
      <c r="Y1351" s="46"/>
      <c r="Z1351" s="46"/>
      <c r="AA1351" s="46"/>
      <c r="AB1351" s="46"/>
      <c r="AC1351" s="46"/>
      <c r="AD1351" s="46"/>
      <c r="AE1351" s="46"/>
      <c r="AF1351" s="46"/>
      <c r="AG1351" s="46"/>
      <c r="AH1351" s="46"/>
      <c r="AI1351" s="46"/>
      <c r="AJ1351" s="46"/>
      <c r="AK1351" s="46"/>
      <c r="AL1351" s="46"/>
      <c r="AM1351" s="46"/>
      <c r="AN1351" s="46"/>
      <c r="AO1351" s="46"/>
      <c r="AP1351" s="46"/>
      <c r="AQ1351" s="46"/>
      <c r="AR1351" s="46"/>
      <c r="AS1351" s="46"/>
      <c r="AT1351" s="46"/>
      <c r="AU1351" s="46"/>
      <c r="AV1351" s="46"/>
      <c r="BA1351" s="49"/>
      <c r="BB1351" s="42"/>
      <c r="BC1351" s="42"/>
      <c r="BD1351" s="42"/>
      <c r="BE1351" s="42"/>
    </row>
    <row r="1352" spans="1:57" s="43" customFormat="1" ht="15.75">
      <c r="A1352" s="13"/>
      <c r="B1352" s="105" t="s">
        <v>564</v>
      </c>
      <c r="C1352" s="15" t="s">
        <v>565</v>
      </c>
      <c r="D1352" s="40"/>
      <c r="E1352" s="40"/>
      <c r="F1352" s="40">
        <v>7</v>
      </c>
      <c r="G1352" s="40">
        <v>7</v>
      </c>
      <c r="H1352" s="40">
        <v>7</v>
      </c>
      <c r="I1352" s="40">
        <v>7</v>
      </c>
      <c r="J1352" s="40"/>
      <c r="K1352" s="40">
        <v>7</v>
      </c>
      <c r="L1352" s="40">
        <v>1</v>
      </c>
      <c r="M1352" s="40" t="s">
        <v>556</v>
      </c>
      <c r="N1352" s="40" t="s">
        <v>556</v>
      </c>
      <c r="O1352" s="40" t="s">
        <v>556</v>
      </c>
      <c r="P1352" s="40" t="s">
        <v>556</v>
      </c>
      <c r="Q1352" s="70"/>
      <c r="R1352" s="41"/>
      <c r="S1352" s="41"/>
      <c r="T1352" s="46"/>
      <c r="U1352" s="46"/>
      <c r="V1352" s="46"/>
      <c r="W1352" s="46"/>
      <c r="X1352" s="46"/>
      <c r="Y1352" s="46"/>
      <c r="Z1352" s="46"/>
      <c r="AA1352" s="46"/>
      <c r="AB1352" s="46"/>
      <c r="AC1352" s="46"/>
      <c r="AD1352" s="46"/>
      <c r="AE1352" s="46"/>
      <c r="AF1352" s="46"/>
      <c r="AG1352" s="46"/>
      <c r="AH1352" s="46"/>
      <c r="AI1352" s="46"/>
      <c r="AJ1352" s="46"/>
      <c r="AK1352" s="46"/>
      <c r="AL1352" s="46"/>
      <c r="AM1352" s="46"/>
      <c r="AN1352" s="46"/>
      <c r="AO1352" s="46"/>
      <c r="AP1352" s="46"/>
      <c r="AQ1352" s="46"/>
      <c r="AR1352" s="46"/>
      <c r="AS1352" s="46"/>
      <c r="AT1352" s="46"/>
      <c r="AU1352" s="46"/>
      <c r="AV1352" s="46"/>
      <c r="BA1352" s="49"/>
      <c r="BB1352" s="42"/>
      <c r="BC1352" s="42"/>
      <c r="BD1352" s="42"/>
      <c r="BE1352" s="42"/>
    </row>
    <row r="1353" spans="1:57" s="43" customFormat="1" ht="19.5" customHeight="1">
      <c r="A1353" s="13"/>
      <c r="B1353" s="105" t="s">
        <v>432</v>
      </c>
      <c r="C1353" s="15" t="s">
        <v>433</v>
      </c>
      <c r="D1353" s="40"/>
      <c r="E1353" s="51"/>
      <c r="F1353" s="40">
        <v>3</v>
      </c>
      <c r="G1353" s="40">
        <v>7</v>
      </c>
      <c r="H1353" s="40">
        <v>7</v>
      </c>
      <c r="I1353" s="40">
        <v>7</v>
      </c>
      <c r="J1353" s="40"/>
      <c r="K1353" s="40">
        <v>7</v>
      </c>
      <c r="L1353" s="40">
        <v>2</v>
      </c>
      <c r="M1353" s="40" t="s">
        <v>556</v>
      </c>
      <c r="N1353" s="40" t="s">
        <v>556</v>
      </c>
      <c r="O1353" s="40" t="s">
        <v>556</v>
      </c>
      <c r="P1353" s="40" t="s">
        <v>556</v>
      </c>
      <c r="Q1353" s="70"/>
      <c r="R1353" s="41"/>
      <c r="S1353" s="41"/>
      <c r="T1353" s="46"/>
      <c r="U1353" s="46"/>
      <c r="V1353" s="46"/>
      <c r="W1353" s="46"/>
      <c r="X1353" s="46"/>
      <c r="Y1353" s="46"/>
      <c r="Z1353" s="46"/>
      <c r="AA1353" s="46"/>
      <c r="AB1353" s="46"/>
      <c r="AC1353" s="46"/>
      <c r="AD1353" s="46"/>
      <c r="AE1353" s="46"/>
      <c r="AF1353" s="46"/>
      <c r="AG1353" s="46"/>
      <c r="AH1353" s="46"/>
      <c r="AI1353" s="46"/>
      <c r="AJ1353" s="46"/>
      <c r="AK1353" s="46"/>
      <c r="AL1353" s="46"/>
      <c r="AM1353" s="46"/>
      <c r="AN1353" s="46"/>
      <c r="AO1353" s="46"/>
      <c r="AP1353" s="46"/>
      <c r="AQ1353" s="46"/>
      <c r="AR1353" s="46"/>
      <c r="AS1353" s="46"/>
      <c r="AT1353" s="46"/>
      <c r="AU1353" s="46"/>
      <c r="AV1353" s="46"/>
      <c r="BA1353" s="49"/>
      <c r="BB1353" s="42"/>
      <c r="BC1353" s="42"/>
      <c r="BD1353" s="42"/>
      <c r="BE1353" s="42"/>
    </row>
    <row r="1354" spans="1:48" s="18" customFormat="1" ht="18" customHeight="1">
      <c r="A1354" s="50"/>
      <c r="B1354" s="93" t="s">
        <v>37</v>
      </c>
      <c r="C1354" s="16"/>
      <c r="D1354" s="52"/>
      <c r="E1354" s="52"/>
      <c r="F1354" s="52"/>
      <c r="G1354" s="52"/>
      <c r="H1354" s="52"/>
      <c r="I1354" s="52"/>
      <c r="J1354" s="52"/>
      <c r="K1354" s="52"/>
      <c r="L1354" s="60">
        <f>SUM(L1355:L1358)</f>
        <v>5</v>
      </c>
      <c r="M1354" s="60">
        <f aca="true" t="shared" si="57" ref="M1354:S1354">SUM(M1355:M1358)</f>
        <v>3</v>
      </c>
      <c r="N1354" s="60">
        <f t="shared" si="57"/>
        <v>3</v>
      </c>
      <c r="O1354" s="60">
        <f t="shared" si="57"/>
        <v>2</v>
      </c>
      <c r="P1354" s="60">
        <f t="shared" si="57"/>
        <v>1</v>
      </c>
      <c r="Q1354" s="256">
        <f t="shared" si="57"/>
        <v>0</v>
      </c>
      <c r="R1354" s="100">
        <f t="shared" si="57"/>
        <v>0</v>
      </c>
      <c r="S1354" s="100">
        <f t="shared" si="57"/>
        <v>0</v>
      </c>
      <c r="T1354" s="47"/>
      <c r="U1354" s="47"/>
      <c r="V1354" s="47"/>
      <c r="W1354" s="47"/>
      <c r="X1354" s="47"/>
      <c r="Y1354" s="47"/>
      <c r="Z1354" s="47"/>
      <c r="AA1354" s="47"/>
      <c r="AB1354" s="47"/>
      <c r="AC1354" s="47"/>
      <c r="AD1354" s="47"/>
      <c r="AE1354" s="47"/>
      <c r="AF1354" s="47"/>
      <c r="AG1354" s="47"/>
      <c r="AH1354" s="47"/>
      <c r="AI1354" s="47"/>
      <c r="AJ1354" s="47"/>
      <c r="AK1354" s="47"/>
      <c r="AL1354" s="47"/>
      <c r="AM1354" s="47"/>
      <c r="AN1354" s="47"/>
      <c r="AO1354" s="47"/>
      <c r="AP1354" s="47"/>
      <c r="AQ1354" s="47"/>
      <c r="AR1354" s="47"/>
      <c r="AS1354" s="47"/>
      <c r="AT1354" s="47"/>
      <c r="AU1354" s="47"/>
      <c r="AV1354" s="47"/>
    </row>
    <row r="1355" spans="1:48" s="27" customFormat="1" ht="15" customHeight="1">
      <c r="A1355" s="12"/>
      <c r="B1355" s="97" t="s">
        <v>72</v>
      </c>
      <c r="C1355" s="29" t="s">
        <v>73</v>
      </c>
      <c r="D1355" s="40"/>
      <c r="E1355" s="40"/>
      <c r="F1355" s="40" t="s">
        <v>556</v>
      </c>
      <c r="G1355" s="40">
        <v>10</v>
      </c>
      <c r="H1355" s="40">
        <v>10</v>
      </c>
      <c r="I1355" s="40">
        <v>10</v>
      </c>
      <c r="J1355" s="40"/>
      <c r="K1355" s="40">
        <v>10</v>
      </c>
      <c r="L1355" s="40">
        <v>2</v>
      </c>
      <c r="M1355" s="40">
        <v>2</v>
      </c>
      <c r="N1355" s="40">
        <v>1</v>
      </c>
      <c r="O1355" s="40">
        <v>1</v>
      </c>
      <c r="P1355" s="40" t="s">
        <v>556</v>
      </c>
      <c r="Q1355" s="30"/>
      <c r="R1355" s="30"/>
      <c r="S1355" s="30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</row>
    <row r="1356" spans="1:48" s="27" customFormat="1" ht="18.75" customHeight="1">
      <c r="A1356" s="12"/>
      <c r="B1356" s="114" t="s">
        <v>74</v>
      </c>
      <c r="C1356" s="15" t="s">
        <v>75</v>
      </c>
      <c r="D1356" s="40"/>
      <c r="E1356" s="40"/>
      <c r="F1356" s="40" t="s">
        <v>556</v>
      </c>
      <c r="G1356" s="40">
        <v>4</v>
      </c>
      <c r="H1356" s="40">
        <v>4</v>
      </c>
      <c r="I1356" s="40">
        <v>4</v>
      </c>
      <c r="J1356" s="40"/>
      <c r="K1356" s="40">
        <v>4</v>
      </c>
      <c r="L1356" s="40">
        <v>1</v>
      </c>
      <c r="M1356" s="40" t="s">
        <v>556</v>
      </c>
      <c r="N1356" s="40" t="s">
        <v>556</v>
      </c>
      <c r="O1356" s="40" t="s">
        <v>556</v>
      </c>
      <c r="P1356" s="40" t="s">
        <v>556</v>
      </c>
      <c r="Q1356" s="30"/>
      <c r="R1356" s="30"/>
      <c r="S1356" s="30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</row>
    <row r="1357" spans="1:48" s="27" customFormat="1" ht="18.75" customHeight="1">
      <c r="A1357" s="12"/>
      <c r="B1357" s="105" t="s">
        <v>610</v>
      </c>
      <c r="C1357" s="15" t="s">
        <v>609</v>
      </c>
      <c r="D1357" s="40"/>
      <c r="E1357" s="40"/>
      <c r="F1357" s="40"/>
      <c r="G1357" s="40"/>
      <c r="H1357" s="40"/>
      <c r="I1357" s="40"/>
      <c r="J1357" s="40"/>
      <c r="K1357" s="40"/>
      <c r="L1357" s="40" t="s">
        <v>556</v>
      </c>
      <c r="M1357" s="40" t="s">
        <v>556</v>
      </c>
      <c r="N1357" s="40">
        <v>1</v>
      </c>
      <c r="O1357" s="40" t="s">
        <v>556</v>
      </c>
      <c r="P1357" s="40" t="s">
        <v>556</v>
      </c>
      <c r="Q1357" s="30"/>
      <c r="R1357" s="30"/>
      <c r="S1357" s="30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</row>
    <row r="1358" spans="1:48" s="27" customFormat="1" ht="30.75" customHeight="1">
      <c r="A1358" s="12"/>
      <c r="B1358" s="105" t="s">
        <v>611</v>
      </c>
      <c r="C1358" s="15" t="s">
        <v>612</v>
      </c>
      <c r="D1358" s="40"/>
      <c r="E1358" s="40"/>
      <c r="F1358" s="40" t="s">
        <v>556</v>
      </c>
      <c r="G1358" s="40">
        <v>4</v>
      </c>
      <c r="H1358" s="40">
        <v>4</v>
      </c>
      <c r="I1358" s="40">
        <v>4</v>
      </c>
      <c r="J1358" s="40"/>
      <c r="K1358" s="40">
        <v>4</v>
      </c>
      <c r="L1358" s="40">
        <v>2</v>
      </c>
      <c r="M1358" s="40">
        <v>1</v>
      </c>
      <c r="N1358" s="40">
        <v>1</v>
      </c>
      <c r="O1358" s="40">
        <v>1</v>
      </c>
      <c r="P1358" s="40">
        <v>1</v>
      </c>
      <c r="Q1358" s="30"/>
      <c r="R1358" s="30"/>
      <c r="S1358" s="30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</row>
    <row r="1359" spans="1:188" s="57" customFormat="1" ht="16.5" customHeight="1">
      <c r="A1359" s="13">
        <v>71</v>
      </c>
      <c r="B1359" s="92" t="s">
        <v>236</v>
      </c>
      <c r="C1359" s="45"/>
      <c r="D1359" s="44">
        <v>173</v>
      </c>
      <c r="E1359" s="44" t="s">
        <v>556</v>
      </c>
      <c r="F1359" s="44">
        <v>244</v>
      </c>
      <c r="G1359" s="44">
        <v>245</v>
      </c>
      <c r="H1359" s="44">
        <v>245</v>
      </c>
      <c r="I1359" s="44">
        <v>245</v>
      </c>
      <c r="J1359" s="44"/>
      <c r="K1359" s="44">
        <v>245</v>
      </c>
      <c r="L1359" s="44">
        <f>SUM(L1360,L1363)</f>
        <v>7</v>
      </c>
      <c r="M1359" s="44">
        <f>SUM(M1360,M1363)</f>
        <v>7</v>
      </c>
      <c r="N1359" s="44">
        <f>SUM(N1360,N1363)</f>
        <v>6</v>
      </c>
      <c r="O1359" s="44">
        <f>SUM(O1360,O1363)</f>
        <v>7</v>
      </c>
      <c r="P1359" s="44">
        <f>SUM(P1360,P1363)</f>
        <v>7</v>
      </c>
      <c r="Q1359" s="54" t="s">
        <v>649</v>
      </c>
      <c r="R1359" s="54">
        <v>6</v>
      </c>
      <c r="S1359" s="55" t="s">
        <v>1340</v>
      </c>
      <c r="T1359" s="56"/>
      <c r="U1359" s="56"/>
      <c r="V1359" s="56"/>
      <c r="W1359" s="56"/>
      <c r="X1359" s="56"/>
      <c r="Y1359" s="56"/>
      <c r="Z1359" s="56"/>
      <c r="AA1359" s="56"/>
      <c r="AB1359" s="56"/>
      <c r="AC1359" s="56"/>
      <c r="AD1359" s="56"/>
      <c r="AE1359" s="56"/>
      <c r="AF1359" s="56"/>
      <c r="AG1359" s="56"/>
      <c r="AH1359" s="56"/>
      <c r="AI1359" s="56"/>
      <c r="AJ1359" s="56"/>
      <c r="AK1359" s="56"/>
      <c r="AL1359" s="56"/>
      <c r="AM1359" s="56"/>
      <c r="AN1359" s="56"/>
      <c r="AO1359" s="56"/>
      <c r="AP1359" s="56"/>
      <c r="AQ1359" s="56"/>
      <c r="AR1359" s="56"/>
      <c r="AS1359" s="56"/>
      <c r="AT1359" s="56"/>
      <c r="AU1359" s="56"/>
      <c r="AV1359" s="56"/>
      <c r="AW1359" s="56"/>
      <c r="AX1359" s="56"/>
      <c r="AY1359" s="56"/>
      <c r="AZ1359" s="56"/>
      <c r="BA1359" s="56"/>
      <c r="BB1359" s="56"/>
      <c r="BC1359" s="56"/>
      <c r="BD1359" s="56"/>
      <c r="BE1359" s="56"/>
      <c r="BF1359" s="56"/>
      <c r="BG1359" s="56"/>
      <c r="BH1359" s="56"/>
      <c r="BI1359" s="56"/>
      <c r="BJ1359" s="56"/>
      <c r="BK1359" s="56"/>
      <c r="BL1359" s="56"/>
      <c r="BM1359" s="56"/>
      <c r="BN1359" s="56"/>
      <c r="BO1359" s="56"/>
      <c r="BP1359" s="56"/>
      <c r="BQ1359" s="56"/>
      <c r="BR1359" s="56"/>
      <c r="BS1359" s="56"/>
      <c r="BT1359" s="56"/>
      <c r="BU1359" s="56"/>
      <c r="BV1359" s="56"/>
      <c r="BW1359" s="56"/>
      <c r="BX1359" s="56"/>
      <c r="BY1359" s="56"/>
      <c r="BZ1359" s="56"/>
      <c r="CA1359" s="56"/>
      <c r="CB1359" s="56"/>
      <c r="CC1359" s="56"/>
      <c r="CD1359" s="56"/>
      <c r="CE1359" s="56"/>
      <c r="CF1359" s="56"/>
      <c r="CG1359" s="56"/>
      <c r="CH1359" s="56"/>
      <c r="CI1359" s="56"/>
      <c r="CJ1359" s="56"/>
      <c r="CK1359" s="56"/>
      <c r="CL1359" s="56"/>
      <c r="CM1359" s="56"/>
      <c r="CN1359" s="56"/>
      <c r="CO1359" s="56"/>
      <c r="CP1359" s="56"/>
      <c r="CQ1359" s="56"/>
      <c r="CR1359" s="56"/>
      <c r="CS1359" s="56"/>
      <c r="CT1359" s="56"/>
      <c r="CU1359" s="56"/>
      <c r="CV1359" s="56"/>
      <c r="CW1359" s="56"/>
      <c r="CX1359" s="56"/>
      <c r="CY1359" s="56"/>
      <c r="CZ1359" s="56"/>
      <c r="DA1359" s="56"/>
      <c r="DB1359" s="56"/>
      <c r="DC1359" s="56"/>
      <c r="DD1359" s="56"/>
      <c r="DE1359" s="56"/>
      <c r="DF1359" s="56"/>
      <c r="DG1359" s="56"/>
      <c r="DH1359" s="56"/>
      <c r="DI1359" s="56"/>
      <c r="DJ1359" s="56"/>
      <c r="DK1359" s="56"/>
      <c r="DL1359" s="56"/>
      <c r="DM1359" s="56"/>
      <c r="DN1359" s="56"/>
      <c r="DO1359" s="56"/>
      <c r="DP1359" s="56"/>
      <c r="DQ1359" s="56"/>
      <c r="DR1359" s="56"/>
      <c r="DS1359" s="56"/>
      <c r="DT1359" s="56"/>
      <c r="DU1359" s="56"/>
      <c r="DV1359" s="56"/>
      <c r="DW1359" s="56"/>
      <c r="DX1359" s="56"/>
      <c r="DY1359" s="56"/>
      <c r="DZ1359" s="56"/>
      <c r="EA1359" s="56"/>
      <c r="EB1359" s="56"/>
      <c r="EC1359" s="56"/>
      <c r="ED1359" s="56"/>
      <c r="EE1359" s="56"/>
      <c r="EF1359" s="56"/>
      <c r="EG1359" s="56"/>
      <c r="EH1359" s="56"/>
      <c r="EI1359" s="56"/>
      <c r="EJ1359" s="56"/>
      <c r="EK1359" s="56"/>
      <c r="EL1359" s="56"/>
      <c r="EM1359" s="56"/>
      <c r="EN1359" s="56"/>
      <c r="EO1359" s="56"/>
      <c r="EP1359" s="56"/>
      <c r="EQ1359" s="56"/>
      <c r="ER1359" s="56"/>
      <c r="ES1359" s="56"/>
      <c r="ET1359" s="56"/>
      <c r="EU1359" s="56"/>
      <c r="EV1359" s="56"/>
      <c r="EW1359" s="56"/>
      <c r="EX1359" s="56"/>
      <c r="EY1359" s="56"/>
      <c r="EZ1359" s="56"/>
      <c r="FA1359" s="56"/>
      <c r="FB1359" s="56"/>
      <c r="FC1359" s="56"/>
      <c r="FD1359" s="56"/>
      <c r="FE1359" s="56"/>
      <c r="FF1359" s="56"/>
      <c r="FG1359" s="56"/>
      <c r="FH1359" s="56"/>
      <c r="FI1359" s="56"/>
      <c r="FJ1359" s="56"/>
      <c r="FK1359" s="56"/>
      <c r="FL1359" s="56"/>
      <c r="FM1359" s="56"/>
      <c r="FN1359" s="56"/>
      <c r="FO1359" s="56"/>
      <c r="FP1359" s="56"/>
      <c r="FQ1359" s="56"/>
      <c r="FR1359" s="56"/>
      <c r="FS1359" s="56"/>
      <c r="FT1359" s="56"/>
      <c r="FU1359" s="56"/>
      <c r="FV1359" s="56"/>
      <c r="FW1359" s="56"/>
      <c r="FX1359" s="56"/>
      <c r="FY1359" s="56"/>
      <c r="FZ1359" s="56"/>
      <c r="GA1359" s="56"/>
      <c r="GB1359" s="56"/>
      <c r="GC1359" s="56"/>
      <c r="GD1359" s="56"/>
      <c r="GE1359" s="56"/>
      <c r="GF1359" s="56"/>
    </row>
    <row r="1360" spans="1:48" s="18" customFormat="1" ht="16.5" customHeight="1">
      <c r="A1360" s="50"/>
      <c r="B1360" s="93" t="s">
        <v>669</v>
      </c>
      <c r="C1360" s="16"/>
      <c r="D1360" s="52"/>
      <c r="E1360" s="52"/>
      <c r="F1360" s="52"/>
      <c r="G1360" s="52"/>
      <c r="H1360" s="52"/>
      <c r="I1360" s="52"/>
      <c r="J1360" s="52"/>
      <c r="K1360" s="52"/>
      <c r="L1360" s="60">
        <f>SUM(L1361:L1362)</f>
        <v>3</v>
      </c>
      <c r="M1360" s="60">
        <f>SUM(M1361:M1362)</f>
        <v>3</v>
      </c>
      <c r="N1360" s="60">
        <f>SUM(N1361:N1362)</f>
        <v>3</v>
      </c>
      <c r="O1360" s="60">
        <f>SUM(O1361:O1362)</f>
        <v>3</v>
      </c>
      <c r="P1360" s="60">
        <f>SUM(P1361:P1362)</f>
        <v>3</v>
      </c>
      <c r="Q1360" s="23"/>
      <c r="R1360" s="23"/>
      <c r="S1360" s="17"/>
      <c r="T1360" s="47"/>
      <c r="U1360" s="47"/>
      <c r="V1360" s="47"/>
      <c r="W1360" s="47"/>
      <c r="X1360" s="47"/>
      <c r="Y1360" s="47"/>
      <c r="Z1360" s="47"/>
      <c r="AA1360" s="47"/>
      <c r="AB1360" s="47"/>
      <c r="AC1360" s="47"/>
      <c r="AD1360" s="47"/>
      <c r="AE1360" s="47"/>
      <c r="AF1360" s="47"/>
      <c r="AG1360" s="47"/>
      <c r="AH1360" s="47"/>
      <c r="AI1360" s="47"/>
      <c r="AJ1360" s="47"/>
      <c r="AK1360" s="47"/>
      <c r="AL1360" s="47"/>
      <c r="AM1360" s="47"/>
      <c r="AN1360" s="47"/>
      <c r="AO1360" s="47"/>
      <c r="AP1360" s="47"/>
      <c r="AQ1360" s="47"/>
      <c r="AR1360" s="47"/>
      <c r="AS1360" s="47"/>
      <c r="AT1360" s="47"/>
      <c r="AU1360" s="47"/>
      <c r="AV1360" s="47"/>
    </row>
    <row r="1361" spans="1:48" s="18" customFormat="1" ht="16.5" customHeight="1">
      <c r="A1361" s="50"/>
      <c r="B1361" s="97" t="s">
        <v>599</v>
      </c>
      <c r="C1361" s="29" t="s">
        <v>600</v>
      </c>
      <c r="D1361" s="52"/>
      <c r="E1361" s="52"/>
      <c r="F1361" s="52"/>
      <c r="G1361" s="52"/>
      <c r="H1361" s="52"/>
      <c r="I1361" s="52"/>
      <c r="J1361" s="52"/>
      <c r="K1361" s="52"/>
      <c r="L1361" s="60">
        <v>1</v>
      </c>
      <c r="M1361" s="40">
        <v>1</v>
      </c>
      <c r="N1361" s="40">
        <v>1</v>
      </c>
      <c r="O1361" s="40">
        <v>1</v>
      </c>
      <c r="P1361" s="40">
        <v>1</v>
      </c>
      <c r="Q1361" s="77"/>
      <c r="R1361" s="77"/>
      <c r="S1361" s="78"/>
      <c r="T1361" s="47"/>
      <c r="U1361" s="47"/>
      <c r="V1361" s="47"/>
      <c r="W1361" s="47"/>
      <c r="X1361" s="47"/>
      <c r="Y1361" s="47"/>
      <c r="Z1361" s="47"/>
      <c r="AA1361" s="47"/>
      <c r="AB1361" s="47"/>
      <c r="AC1361" s="47"/>
      <c r="AD1361" s="47"/>
      <c r="AE1361" s="47"/>
      <c r="AF1361" s="47"/>
      <c r="AG1361" s="47"/>
      <c r="AH1361" s="47"/>
      <c r="AI1361" s="47"/>
      <c r="AJ1361" s="47"/>
      <c r="AK1361" s="47"/>
      <c r="AL1361" s="47"/>
      <c r="AM1361" s="47"/>
      <c r="AN1361" s="47"/>
      <c r="AO1361" s="47"/>
      <c r="AP1361" s="47"/>
      <c r="AQ1361" s="47"/>
      <c r="AR1361" s="47"/>
      <c r="AS1361" s="47"/>
      <c r="AT1361" s="47"/>
      <c r="AU1361" s="47"/>
      <c r="AV1361" s="47"/>
    </row>
    <row r="1362" spans="1:48" s="27" customFormat="1" ht="16.5" customHeight="1">
      <c r="A1362" s="12"/>
      <c r="B1362" s="97" t="s">
        <v>411</v>
      </c>
      <c r="C1362" s="29" t="s">
        <v>412</v>
      </c>
      <c r="D1362" s="51"/>
      <c r="E1362" s="40"/>
      <c r="F1362" s="40">
        <v>186</v>
      </c>
      <c r="G1362" s="40">
        <v>186</v>
      </c>
      <c r="H1362" s="40">
        <v>186</v>
      </c>
      <c r="I1362" s="40">
        <v>187</v>
      </c>
      <c r="J1362" s="40"/>
      <c r="K1362" s="40">
        <v>187</v>
      </c>
      <c r="L1362" s="40">
        <v>2</v>
      </c>
      <c r="M1362" s="40">
        <v>2</v>
      </c>
      <c r="N1362" s="40">
        <v>2</v>
      </c>
      <c r="O1362" s="40">
        <v>2</v>
      </c>
      <c r="P1362" s="40">
        <v>2</v>
      </c>
      <c r="Q1362" s="30"/>
      <c r="R1362" s="30"/>
      <c r="S1362" s="30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</row>
    <row r="1363" spans="1:57" s="43" customFormat="1" ht="16.5" customHeight="1">
      <c r="A1363" s="63"/>
      <c r="B1363" s="104" t="s">
        <v>670</v>
      </c>
      <c r="C1363" s="45"/>
      <c r="D1363" s="40"/>
      <c r="E1363" s="40"/>
      <c r="F1363" s="223"/>
      <c r="G1363" s="223"/>
      <c r="H1363" s="223"/>
      <c r="I1363" s="223"/>
      <c r="J1363" s="223"/>
      <c r="K1363" s="223"/>
      <c r="L1363" s="122">
        <f>L1364</f>
        <v>4</v>
      </c>
      <c r="M1363" s="122">
        <f>M1364</f>
        <v>4</v>
      </c>
      <c r="N1363" s="122">
        <f>N1364</f>
        <v>3</v>
      </c>
      <c r="O1363" s="122">
        <f>O1364</f>
        <v>4</v>
      </c>
      <c r="P1363" s="122">
        <f>P1364</f>
        <v>4</v>
      </c>
      <c r="Q1363" s="70"/>
      <c r="R1363" s="41"/>
      <c r="S1363" s="41"/>
      <c r="T1363" s="46"/>
      <c r="U1363" s="46"/>
      <c r="V1363" s="46"/>
      <c r="W1363" s="46"/>
      <c r="X1363" s="46"/>
      <c r="Y1363" s="46"/>
      <c r="Z1363" s="46"/>
      <c r="AA1363" s="46"/>
      <c r="AB1363" s="46"/>
      <c r="AC1363" s="46"/>
      <c r="AD1363" s="46"/>
      <c r="AE1363" s="46"/>
      <c r="AF1363" s="46"/>
      <c r="AG1363" s="46"/>
      <c r="AH1363" s="46"/>
      <c r="AI1363" s="46"/>
      <c r="AJ1363" s="46"/>
      <c r="AK1363" s="46"/>
      <c r="AL1363" s="46"/>
      <c r="AM1363" s="46"/>
      <c r="AN1363" s="46"/>
      <c r="AO1363" s="46"/>
      <c r="AP1363" s="46"/>
      <c r="AQ1363" s="46"/>
      <c r="AR1363" s="46"/>
      <c r="AS1363" s="46"/>
      <c r="AT1363" s="46"/>
      <c r="AU1363" s="46"/>
      <c r="AV1363" s="46"/>
      <c r="BA1363" s="49"/>
      <c r="BB1363" s="42"/>
      <c r="BC1363" s="42"/>
      <c r="BD1363" s="42"/>
      <c r="BE1363" s="42"/>
    </row>
    <row r="1364" spans="1:57" s="43" customFormat="1" ht="16.5" customHeight="1">
      <c r="A1364" s="63"/>
      <c r="B1364" s="105" t="s">
        <v>133</v>
      </c>
      <c r="C1364" s="15" t="s">
        <v>134</v>
      </c>
      <c r="D1364" s="40"/>
      <c r="E1364" s="51"/>
      <c r="F1364" s="40"/>
      <c r="G1364" s="40"/>
      <c r="H1364" s="40"/>
      <c r="I1364" s="40"/>
      <c r="J1364" s="40"/>
      <c r="K1364" s="40"/>
      <c r="L1364" s="40">
        <v>4</v>
      </c>
      <c r="M1364" s="40">
        <v>4</v>
      </c>
      <c r="N1364" s="40">
        <v>3</v>
      </c>
      <c r="O1364" s="40">
        <v>4</v>
      </c>
      <c r="P1364" s="40">
        <v>4</v>
      </c>
      <c r="Q1364" s="259"/>
      <c r="R1364" s="245"/>
      <c r="S1364" s="245"/>
      <c r="T1364" s="46"/>
      <c r="U1364" s="46"/>
      <c r="V1364" s="46"/>
      <c r="W1364" s="46"/>
      <c r="X1364" s="46"/>
      <c r="Y1364" s="46"/>
      <c r="Z1364" s="46"/>
      <c r="AA1364" s="46"/>
      <c r="AB1364" s="46"/>
      <c r="AC1364" s="46"/>
      <c r="AD1364" s="46"/>
      <c r="AE1364" s="46"/>
      <c r="AF1364" s="46"/>
      <c r="AG1364" s="46"/>
      <c r="AH1364" s="46"/>
      <c r="AI1364" s="46"/>
      <c r="AJ1364" s="46"/>
      <c r="AK1364" s="46"/>
      <c r="AL1364" s="46"/>
      <c r="AM1364" s="46"/>
      <c r="AN1364" s="46"/>
      <c r="AO1364" s="46"/>
      <c r="AP1364" s="46"/>
      <c r="AQ1364" s="46"/>
      <c r="AR1364" s="46"/>
      <c r="AS1364" s="46"/>
      <c r="AT1364" s="46"/>
      <c r="AU1364" s="46"/>
      <c r="AV1364" s="46"/>
      <c r="BA1364" s="246"/>
      <c r="BB1364" s="247"/>
      <c r="BC1364" s="247"/>
      <c r="BD1364" s="247"/>
      <c r="BE1364" s="247"/>
    </row>
    <row r="1365" spans="1:19" s="204" customFormat="1" ht="18" customHeight="1">
      <c r="A1365" s="13">
        <v>72</v>
      </c>
      <c r="B1365" s="92" t="s">
        <v>232</v>
      </c>
      <c r="C1365" s="45"/>
      <c r="D1365" s="44">
        <v>930</v>
      </c>
      <c r="E1365" s="44">
        <f>E1366+E1377+E1379</f>
        <v>14</v>
      </c>
      <c r="F1365" s="44">
        <f aca="true" t="shared" si="58" ref="F1365:M1365">F1366+F1377+F1379</f>
        <v>239</v>
      </c>
      <c r="G1365" s="44">
        <f t="shared" si="58"/>
        <v>239</v>
      </c>
      <c r="H1365" s="44">
        <f t="shared" si="58"/>
        <v>239</v>
      </c>
      <c r="I1365" s="44">
        <f t="shared" si="58"/>
        <v>239</v>
      </c>
      <c r="J1365" s="44">
        <f t="shared" si="58"/>
        <v>0</v>
      </c>
      <c r="K1365" s="44">
        <f t="shared" si="58"/>
        <v>239</v>
      </c>
      <c r="L1365" s="44">
        <f t="shared" si="58"/>
        <v>3</v>
      </c>
      <c r="M1365" s="44">
        <f t="shared" si="58"/>
        <v>129</v>
      </c>
      <c r="N1365" s="44"/>
      <c r="O1365" s="44"/>
      <c r="P1365" s="44"/>
      <c r="Q1365" s="251" t="s">
        <v>648</v>
      </c>
      <c r="R1365" s="251">
        <v>6</v>
      </c>
      <c r="S1365" s="252" t="s">
        <v>939</v>
      </c>
    </row>
    <row r="1366" spans="1:16" s="213" customFormat="1" ht="15.75">
      <c r="A1366" s="63"/>
      <c r="B1366" s="104" t="s">
        <v>669</v>
      </c>
      <c r="C1366" s="45"/>
      <c r="D1366" s="340">
        <f>D1367+D1368+D1369+D1370+D1371+D1372+D1373+D1374+D1375+D1376</f>
        <v>461</v>
      </c>
      <c r="E1366" s="340">
        <f aca="true" t="shared" si="59" ref="E1366:M1366">E1367+E1368+E1369+E1370+E1371+E1372+E1373+E1374+E1375+E1376</f>
        <v>13</v>
      </c>
      <c r="F1366" s="340">
        <f t="shared" si="59"/>
        <v>239</v>
      </c>
      <c r="G1366" s="340">
        <f t="shared" si="59"/>
        <v>239</v>
      </c>
      <c r="H1366" s="340">
        <f t="shared" si="59"/>
        <v>239</v>
      </c>
      <c r="I1366" s="340">
        <f t="shared" si="59"/>
        <v>239</v>
      </c>
      <c r="J1366" s="340">
        <f t="shared" si="59"/>
        <v>0</v>
      </c>
      <c r="K1366" s="340">
        <f t="shared" si="59"/>
        <v>239</v>
      </c>
      <c r="L1366" s="340">
        <f t="shared" si="59"/>
        <v>3</v>
      </c>
      <c r="M1366" s="340">
        <f t="shared" si="59"/>
        <v>112</v>
      </c>
      <c r="N1366" s="340"/>
      <c r="O1366" s="340"/>
      <c r="P1366" s="340"/>
    </row>
    <row r="1367" spans="1:16" s="213" customFormat="1" ht="18.75" customHeight="1">
      <c r="A1367" s="63"/>
      <c r="B1367" s="97" t="s">
        <v>989</v>
      </c>
      <c r="C1367" s="15">
        <v>15020132</v>
      </c>
      <c r="D1367" s="341">
        <v>86</v>
      </c>
      <c r="E1367" s="341">
        <v>2</v>
      </c>
      <c r="F1367" s="40">
        <v>67</v>
      </c>
      <c r="G1367" s="40">
        <v>67</v>
      </c>
      <c r="H1367" s="40">
        <v>67</v>
      </c>
      <c r="I1367" s="40">
        <v>67</v>
      </c>
      <c r="J1367" s="40"/>
      <c r="K1367" s="40">
        <v>67</v>
      </c>
      <c r="L1367" s="40"/>
      <c r="M1367" s="341">
        <v>15</v>
      </c>
      <c r="N1367" s="341"/>
      <c r="O1367" s="341"/>
      <c r="P1367" s="341"/>
    </row>
    <row r="1368" spans="1:16" s="213" customFormat="1" ht="18.75" customHeight="1">
      <c r="A1368" s="63"/>
      <c r="B1368" s="97" t="s">
        <v>1250</v>
      </c>
      <c r="C1368" s="15">
        <v>19258</v>
      </c>
      <c r="D1368" s="341">
        <v>23</v>
      </c>
      <c r="E1368" s="341">
        <v>6</v>
      </c>
      <c r="F1368" s="40"/>
      <c r="G1368" s="40"/>
      <c r="H1368" s="40"/>
      <c r="I1368" s="40"/>
      <c r="J1368" s="40"/>
      <c r="K1368" s="40"/>
      <c r="L1368" s="40"/>
      <c r="M1368" s="341">
        <v>8</v>
      </c>
      <c r="N1368" s="341"/>
      <c r="O1368" s="341"/>
      <c r="P1368" s="341"/>
    </row>
    <row r="1369" spans="1:16" s="213" customFormat="1" ht="18.75" customHeight="1">
      <c r="A1369" s="63"/>
      <c r="B1369" s="97" t="s">
        <v>1245</v>
      </c>
      <c r="C1369" s="15" t="s">
        <v>1253</v>
      </c>
      <c r="D1369" s="341">
        <v>36</v>
      </c>
      <c r="E1369" s="341">
        <v>2</v>
      </c>
      <c r="F1369" s="40"/>
      <c r="G1369" s="40"/>
      <c r="H1369" s="40"/>
      <c r="I1369" s="40"/>
      <c r="J1369" s="40"/>
      <c r="K1369" s="40"/>
      <c r="L1369" s="40"/>
      <c r="M1369" s="341">
        <v>15</v>
      </c>
      <c r="N1369" s="341"/>
      <c r="O1369" s="341"/>
      <c r="P1369" s="341"/>
    </row>
    <row r="1370" spans="1:16" s="213" customFormat="1" ht="18.75" customHeight="1">
      <c r="A1370" s="63"/>
      <c r="B1370" s="97" t="s">
        <v>1251</v>
      </c>
      <c r="C1370" s="15" t="s">
        <v>1254</v>
      </c>
      <c r="D1370" s="341">
        <v>26</v>
      </c>
      <c r="E1370" s="341">
        <v>1</v>
      </c>
      <c r="F1370" s="40"/>
      <c r="G1370" s="40"/>
      <c r="H1370" s="40"/>
      <c r="I1370" s="40"/>
      <c r="J1370" s="40"/>
      <c r="K1370" s="40"/>
      <c r="L1370" s="40"/>
      <c r="M1370" s="341">
        <v>8</v>
      </c>
      <c r="N1370" s="341"/>
      <c r="O1370" s="341"/>
      <c r="P1370" s="341"/>
    </row>
    <row r="1371" spans="1:16" s="213" customFormat="1" ht="18.75" customHeight="1">
      <c r="A1371" s="63"/>
      <c r="B1371" s="97" t="s">
        <v>1246</v>
      </c>
      <c r="C1371" s="15" t="s">
        <v>1255</v>
      </c>
      <c r="D1371" s="341">
        <v>31</v>
      </c>
      <c r="E1371" s="341">
        <v>1</v>
      </c>
      <c r="F1371" s="40"/>
      <c r="G1371" s="40"/>
      <c r="H1371" s="40"/>
      <c r="I1371" s="40"/>
      <c r="J1371" s="40"/>
      <c r="K1371" s="40"/>
      <c r="L1371" s="40"/>
      <c r="M1371" s="341">
        <v>20</v>
      </c>
      <c r="N1371" s="341"/>
      <c r="O1371" s="341"/>
      <c r="P1371" s="341"/>
    </row>
    <row r="1372" spans="1:16" s="213" customFormat="1" ht="18.75" customHeight="1">
      <c r="A1372" s="63"/>
      <c r="B1372" s="97" t="s">
        <v>1320</v>
      </c>
      <c r="C1372" s="15" t="s">
        <v>1322</v>
      </c>
      <c r="D1372" s="341">
        <v>16</v>
      </c>
      <c r="E1372" s="341"/>
      <c r="F1372" s="40"/>
      <c r="G1372" s="40"/>
      <c r="H1372" s="40"/>
      <c r="I1372" s="40"/>
      <c r="J1372" s="40"/>
      <c r="K1372" s="40"/>
      <c r="L1372" s="40"/>
      <c r="M1372" s="341">
        <v>2</v>
      </c>
      <c r="N1372" s="341"/>
      <c r="O1372" s="341"/>
      <c r="P1372" s="341"/>
    </row>
    <row r="1373" spans="1:16" s="213" customFormat="1" ht="18.75" customHeight="1">
      <c r="A1373" s="63"/>
      <c r="B1373" s="97" t="s">
        <v>1247</v>
      </c>
      <c r="C1373" s="15" t="s">
        <v>1003</v>
      </c>
      <c r="D1373" s="341">
        <v>23</v>
      </c>
      <c r="E1373" s="341"/>
      <c r="F1373" s="40"/>
      <c r="G1373" s="40"/>
      <c r="H1373" s="40"/>
      <c r="I1373" s="40"/>
      <c r="J1373" s="40"/>
      <c r="K1373" s="40"/>
      <c r="L1373" s="40"/>
      <c r="M1373" s="341">
        <v>2</v>
      </c>
      <c r="N1373" s="341"/>
      <c r="O1373" s="341"/>
      <c r="P1373" s="341"/>
    </row>
    <row r="1374" spans="1:16" s="213" customFormat="1" ht="18.75" customHeight="1">
      <c r="A1374" s="63"/>
      <c r="B1374" s="97" t="s">
        <v>1252</v>
      </c>
      <c r="C1374" s="15" t="s">
        <v>1256</v>
      </c>
      <c r="D1374" s="341">
        <v>19</v>
      </c>
      <c r="E1374" s="341"/>
      <c r="F1374" s="40"/>
      <c r="G1374" s="40"/>
      <c r="H1374" s="40"/>
      <c r="I1374" s="40"/>
      <c r="J1374" s="40"/>
      <c r="K1374" s="40"/>
      <c r="L1374" s="40"/>
      <c r="M1374" s="341">
        <v>10</v>
      </c>
      <c r="N1374" s="341"/>
      <c r="O1374" s="341"/>
      <c r="P1374" s="341"/>
    </row>
    <row r="1375" spans="1:16" s="213" customFormat="1" ht="18.75" customHeight="1">
      <c r="A1375" s="63"/>
      <c r="B1375" s="97" t="s">
        <v>1248</v>
      </c>
      <c r="C1375" s="15" t="s">
        <v>608</v>
      </c>
      <c r="D1375" s="341">
        <v>40</v>
      </c>
      <c r="E1375" s="341"/>
      <c r="F1375" s="40">
        <v>37</v>
      </c>
      <c r="G1375" s="40">
        <v>37</v>
      </c>
      <c r="H1375" s="40">
        <v>37</v>
      </c>
      <c r="I1375" s="40">
        <v>37</v>
      </c>
      <c r="J1375" s="40"/>
      <c r="K1375" s="40">
        <v>37</v>
      </c>
      <c r="L1375" s="40"/>
      <c r="M1375" s="341">
        <v>2</v>
      </c>
      <c r="N1375" s="341"/>
      <c r="O1375" s="341"/>
      <c r="P1375" s="341"/>
    </row>
    <row r="1376" spans="1:16" s="213" customFormat="1" ht="18.75" customHeight="1">
      <c r="A1376" s="63"/>
      <c r="B1376" s="105" t="s">
        <v>421</v>
      </c>
      <c r="C1376" s="15" t="s">
        <v>1315</v>
      </c>
      <c r="D1376" s="40">
        <v>161</v>
      </c>
      <c r="E1376" s="40">
        <v>1</v>
      </c>
      <c r="F1376" s="40">
        <v>135</v>
      </c>
      <c r="G1376" s="40">
        <v>135</v>
      </c>
      <c r="H1376" s="40">
        <v>135</v>
      </c>
      <c r="I1376" s="40">
        <v>135</v>
      </c>
      <c r="J1376" s="40"/>
      <c r="K1376" s="40">
        <v>135</v>
      </c>
      <c r="L1376" s="40">
        <v>3</v>
      </c>
      <c r="M1376" s="40">
        <v>30</v>
      </c>
      <c r="N1376" s="40"/>
      <c r="O1376" s="40"/>
      <c r="P1376" s="40"/>
    </row>
    <row r="1377" spans="1:16" s="213" customFormat="1" ht="15.75">
      <c r="A1377" s="63"/>
      <c r="B1377" s="104" t="s">
        <v>670</v>
      </c>
      <c r="C1377" s="45"/>
      <c r="D1377" s="60">
        <v>20</v>
      </c>
      <c r="E1377" s="60">
        <v>1</v>
      </c>
      <c r="F1377" s="342"/>
      <c r="G1377" s="342"/>
      <c r="H1377" s="342"/>
      <c r="I1377" s="342"/>
      <c r="J1377" s="342"/>
      <c r="K1377" s="342"/>
      <c r="L1377" s="122"/>
      <c r="M1377" s="122">
        <v>7</v>
      </c>
      <c r="N1377" s="122"/>
      <c r="O1377" s="122"/>
      <c r="P1377" s="122"/>
    </row>
    <row r="1378" spans="1:16" s="213" customFormat="1" ht="15.75">
      <c r="A1378" s="63"/>
      <c r="B1378" s="97" t="s">
        <v>991</v>
      </c>
      <c r="C1378" s="15" t="s">
        <v>1257</v>
      </c>
      <c r="D1378" s="341">
        <v>20</v>
      </c>
      <c r="E1378" s="341">
        <v>1</v>
      </c>
      <c r="F1378" s="341">
        <v>7</v>
      </c>
      <c r="G1378" s="40">
        <v>78</v>
      </c>
      <c r="H1378" s="40">
        <v>78</v>
      </c>
      <c r="I1378" s="40">
        <v>78</v>
      </c>
      <c r="J1378" s="40"/>
      <c r="K1378" s="40">
        <v>78</v>
      </c>
      <c r="L1378" s="40"/>
      <c r="M1378" s="40">
        <v>7</v>
      </c>
      <c r="N1378" s="40"/>
      <c r="O1378" s="40"/>
      <c r="P1378" s="40"/>
    </row>
    <row r="1379" spans="1:19" s="213" customFormat="1" ht="15.75">
      <c r="A1379" s="63"/>
      <c r="B1379" s="104" t="s">
        <v>37</v>
      </c>
      <c r="C1379" s="45"/>
      <c r="D1379" s="60">
        <v>35</v>
      </c>
      <c r="E1379" s="40"/>
      <c r="F1379" s="342"/>
      <c r="G1379" s="342"/>
      <c r="H1379" s="342"/>
      <c r="I1379" s="342"/>
      <c r="J1379" s="342"/>
      <c r="K1379" s="342"/>
      <c r="L1379" s="122">
        <f>SUM(L1380:L1381)</f>
        <v>0</v>
      </c>
      <c r="M1379" s="122">
        <f aca="true" t="shared" si="60" ref="M1379:S1379">SUM(M1380:M1381)</f>
        <v>10</v>
      </c>
      <c r="N1379" s="122"/>
      <c r="O1379" s="122"/>
      <c r="P1379" s="122"/>
      <c r="Q1379" s="253">
        <f t="shared" si="60"/>
        <v>0</v>
      </c>
      <c r="R1379" s="253">
        <f t="shared" si="60"/>
        <v>0</v>
      </c>
      <c r="S1379" s="253">
        <f t="shared" si="60"/>
        <v>0</v>
      </c>
    </row>
    <row r="1380" spans="1:16" s="213" customFormat="1" ht="15.75">
      <c r="A1380" s="63"/>
      <c r="B1380" s="97" t="s">
        <v>1249</v>
      </c>
      <c r="C1380" s="15" t="s">
        <v>1078</v>
      </c>
      <c r="D1380" s="341">
        <v>16</v>
      </c>
      <c r="E1380" s="341"/>
      <c r="F1380" s="40">
        <v>5</v>
      </c>
      <c r="G1380" s="40">
        <v>5</v>
      </c>
      <c r="H1380" s="40">
        <v>5</v>
      </c>
      <c r="I1380" s="40">
        <v>5</v>
      </c>
      <c r="J1380" s="40"/>
      <c r="K1380" s="40">
        <v>5</v>
      </c>
      <c r="L1380" s="40"/>
      <c r="M1380" s="40">
        <v>5</v>
      </c>
      <c r="N1380" s="40"/>
      <c r="O1380" s="40"/>
      <c r="P1380" s="40"/>
    </row>
    <row r="1381" spans="1:19" s="250" customFormat="1" ht="18.75" customHeight="1">
      <c r="A1381" s="303"/>
      <c r="B1381" s="97" t="s">
        <v>1195</v>
      </c>
      <c r="C1381" s="15" t="s">
        <v>476</v>
      </c>
      <c r="D1381" s="341">
        <v>19</v>
      </c>
      <c r="E1381" s="341"/>
      <c r="F1381" s="40"/>
      <c r="G1381" s="40">
        <v>5</v>
      </c>
      <c r="H1381" s="40">
        <v>5</v>
      </c>
      <c r="I1381" s="40">
        <v>5</v>
      </c>
      <c r="J1381" s="40"/>
      <c r="K1381" s="40">
        <v>5</v>
      </c>
      <c r="L1381" s="40"/>
      <c r="M1381" s="40">
        <v>5</v>
      </c>
      <c r="N1381" s="40"/>
      <c r="O1381" s="40"/>
      <c r="P1381" s="40"/>
      <c r="Q1381" s="260"/>
      <c r="R1381" s="241"/>
      <c r="S1381" s="241"/>
    </row>
    <row r="1382" spans="1:188" s="57" customFormat="1" ht="18" customHeight="1">
      <c r="A1382" s="13">
        <v>73</v>
      </c>
      <c r="B1382" s="92" t="s">
        <v>233</v>
      </c>
      <c r="C1382" s="45"/>
      <c r="D1382" s="44">
        <v>155</v>
      </c>
      <c r="E1382" s="44">
        <v>17</v>
      </c>
      <c r="F1382" s="44">
        <v>150</v>
      </c>
      <c r="G1382" s="44">
        <v>156</v>
      </c>
      <c r="H1382" s="44">
        <v>156</v>
      </c>
      <c r="I1382" s="44">
        <v>156</v>
      </c>
      <c r="J1382" s="44"/>
      <c r="K1382" s="44">
        <v>156</v>
      </c>
      <c r="L1382" s="44">
        <v>2</v>
      </c>
      <c r="M1382" s="44">
        <v>2</v>
      </c>
      <c r="N1382" s="44">
        <v>2</v>
      </c>
      <c r="O1382" s="44">
        <v>2</v>
      </c>
      <c r="P1382" s="44">
        <v>2</v>
      </c>
      <c r="Q1382" s="248" t="s">
        <v>648</v>
      </c>
      <c r="R1382" s="248">
        <v>6</v>
      </c>
      <c r="S1382" s="249" t="s">
        <v>1271</v>
      </c>
      <c r="T1382" s="56"/>
      <c r="U1382" s="56"/>
      <c r="V1382" s="56"/>
      <c r="W1382" s="56"/>
      <c r="X1382" s="56"/>
      <c r="Y1382" s="56"/>
      <c r="Z1382" s="56"/>
      <c r="AA1382" s="56"/>
      <c r="AB1382" s="56"/>
      <c r="AC1382" s="56"/>
      <c r="AD1382" s="56"/>
      <c r="AE1382" s="56"/>
      <c r="AF1382" s="56"/>
      <c r="AG1382" s="56"/>
      <c r="AH1382" s="56"/>
      <c r="AI1382" s="56"/>
      <c r="AJ1382" s="56"/>
      <c r="AK1382" s="56"/>
      <c r="AL1382" s="56"/>
      <c r="AM1382" s="56"/>
      <c r="AN1382" s="56"/>
      <c r="AO1382" s="56"/>
      <c r="AP1382" s="56"/>
      <c r="AQ1382" s="56"/>
      <c r="AR1382" s="56"/>
      <c r="AS1382" s="56"/>
      <c r="AT1382" s="56"/>
      <c r="AU1382" s="56"/>
      <c r="AV1382" s="56"/>
      <c r="AW1382" s="56"/>
      <c r="AX1382" s="56"/>
      <c r="AY1382" s="56"/>
      <c r="AZ1382" s="56"/>
      <c r="BA1382" s="56"/>
      <c r="BB1382" s="56"/>
      <c r="BC1382" s="56"/>
      <c r="BD1382" s="56"/>
      <c r="BE1382" s="56"/>
      <c r="BF1382" s="56"/>
      <c r="BG1382" s="56"/>
      <c r="BH1382" s="56"/>
      <c r="BI1382" s="56"/>
      <c r="BJ1382" s="56"/>
      <c r="BK1382" s="56"/>
      <c r="BL1382" s="56"/>
      <c r="BM1382" s="56"/>
      <c r="BN1382" s="56"/>
      <c r="BO1382" s="56"/>
      <c r="BP1382" s="56"/>
      <c r="BQ1382" s="56"/>
      <c r="BR1382" s="56"/>
      <c r="BS1382" s="56"/>
      <c r="BT1382" s="56"/>
      <c r="BU1382" s="56"/>
      <c r="BV1382" s="56"/>
      <c r="BW1382" s="56"/>
      <c r="BX1382" s="56"/>
      <c r="BY1382" s="56"/>
      <c r="BZ1382" s="56"/>
      <c r="CA1382" s="56"/>
      <c r="CB1382" s="56"/>
      <c r="CC1382" s="56"/>
      <c r="CD1382" s="56"/>
      <c r="CE1382" s="56"/>
      <c r="CF1382" s="56"/>
      <c r="CG1382" s="56"/>
      <c r="CH1382" s="56"/>
      <c r="CI1382" s="56"/>
      <c r="CJ1382" s="56"/>
      <c r="CK1382" s="56"/>
      <c r="CL1382" s="56"/>
      <c r="CM1382" s="56"/>
      <c r="CN1382" s="56"/>
      <c r="CO1382" s="56"/>
      <c r="CP1382" s="56"/>
      <c r="CQ1382" s="56"/>
      <c r="CR1382" s="56"/>
      <c r="CS1382" s="56"/>
      <c r="CT1382" s="56"/>
      <c r="CU1382" s="56"/>
      <c r="CV1382" s="56"/>
      <c r="CW1382" s="56"/>
      <c r="CX1382" s="56"/>
      <c r="CY1382" s="56"/>
      <c r="CZ1382" s="56"/>
      <c r="DA1382" s="56"/>
      <c r="DB1382" s="56"/>
      <c r="DC1382" s="56"/>
      <c r="DD1382" s="56"/>
      <c r="DE1382" s="56"/>
      <c r="DF1382" s="56"/>
      <c r="DG1382" s="56"/>
      <c r="DH1382" s="56"/>
      <c r="DI1382" s="56"/>
      <c r="DJ1382" s="56"/>
      <c r="DK1382" s="56"/>
      <c r="DL1382" s="56"/>
      <c r="DM1382" s="56"/>
      <c r="DN1382" s="56"/>
      <c r="DO1382" s="56"/>
      <c r="DP1382" s="56"/>
      <c r="DQ1382" s="56"/>
      <c r="DR1382" s="56"/>
      <c r="DS1382" s="56"/>
      <c r="DT1382" s="56"/>
      <c r="DU1382" s="56"/>
      <c r="DV1382" s="56"/>
      <c r="DW1382" s="56"/>
      <c r="DX1382" s="56"/>
      <c r="DY1382" s="56"/>
      <c r="DZ1382" s="56"/>
      <c r="EA1382" s="56"/>
      <c r="EB1382" s="56"/>
      <c r="EC1382" s="56"/>
      <c r="ED1382" s="56"/>
      <c r="EE1382" s="56"/>
      <c r="EF1382" s="56"/>
      <c r="EG1382" s="56"/>
      <c r="EH1382" s="56"/>
      <c r="EI1382" s="56"/>
      <c r="EJ1382" s="56"/>
      <c r="EK1382" s="56"/>
      <c r="EL1382" s="56"/>
      <c r="EM1382" s="56"/>
      <c r="EN1382" s="56"/>
      <c r="EO1382" s="56"/>
      <c r="EP1382" s="56"/>
      <c r="EQ1382" s="56"/>
      <c r="ER1382" s="56"/>
      <c r="ES1382" s="56"/>
      <c r="ET1382" s="56"/>
      <c r="EU1382" s="56"/>
      <c r="EV1382" s="56"/>
      <c r="EW1382" s="56"/>
      <c r="EX1382" s="56"/>
      <c r="EY1382" s="56"/>
      <c r="EZ1382" s="56"/>
      <c r="FA1382" s="56"/>
      <c r="FB1382" s="56"/>
      <c r="FC1382" s="56"/>
      <c r="FD1382" s="56"/>
      <c r="FE1382" s="56"/>
      <c r="FF1382" s="56"/>
      <c r="FG1382" s="56"/>
      <c r="FH1382" s="56"/>
      <c r="FI1382" s="56"/>
      <c r="FJ1382" s="56"/>
      <c r="FK1382" s="56"/>
      <c r="FL1382" s="56"/>
      <c r="FM1382" s="56"/>
      <c r="FN1382" s="56"/>
      <c r="FO1382" s="56"/>
      <c r="FP1382" s="56"/>
      <c r="FQ1382" s="56"/>
      <c r="FR1382" s="56"/>
      <c r="FS1382" s="56"/>
      <c r="FT1382" s="56"/>
      <c r="FU1382" s="56"/>
      <c r="FV1382" s="56"/>
      <c r="FW1382" s="56"/>
      <c r="FX1382" s="56"/>
      <c r="FY1382" s="56"/>
      <c r="FZ1382" s="56"/>
      <c r="GA1382" s="56"/>
      <c r="GB1382" s="56"/>
      <c r="GC1382" s="56"/>
      <c r="GD1382" s="56"/>
      <c r="GE1382" s="56"/>
      <c r="GF1382" s="56"/>
    </row>
    <row r="1383" spans="1:48" s="18" customFormat="1" ht="18" customHeight="1">
      <c r="A1383" s="50"/>
      <c r="B1383" s="93" t="s">
        <v>669</v>
      </c>
      <c r="C1383" s="16"/>
      <c r="D1383" s="52"/>
      <c r="E1383" s="52"/>
      <c r="F1383" s="52"/>
      <c r="G1383" s="52"/>
      <c r="H1383" s="52"/>
      <c r="I1383" s="52"/>
      <c r="J1383" s="52"/>
      <c r="K1383" s="52"/>
      <c r="L1383" s="60">
        <f>SUM(L1384:L1384)</f>
        <v>1</v>
      </c>
      <c r="M1383" s="60">
        <f>SUM(M1384:M1384)</f>
        <v>1</v>
      </c>
      <c r="N1383" s="60">
        <f>SUM(N1384:N1384)</f>
        <v>1</v>
      </c>
      <c r="O1383" s="60">
        <f>SUM(O1384:O1384)</f>
        <v>1</v>
      </c>
      <c r="P1383" s="60">
        <f>SUM(P1384:P1384)</f>
        <v>1</v>
      </c>
      <c r="Q1383" s="23"/>
      <c r="R1383" s="23"/>
      <c r="S1383" s="17"/>
      <c r="T1383" s="47"/>
      <c r="U1383" s="47"/>
      <c r="V1383" s="47"/>
      <c r="W1383" s="47"/>
      <c r="X1383" s="47"/>
      <c r="Y1383" s="47"/>
      <c r="Z1383" s="47"/>
      <c r="AA1383" s="47"/>
      <c r="AB1383" s="47"/>
      <c r="AC1383" s="47"/>
      <c r="AD1383" s="47"/>
      <c r="AE1383" s="47"/>
      <c r="AF1383" s="47"/>
      <c r="AG1383" s="47"/>
      <c r="AH1383" s="47"/>
      <c r="AI1383" s="47"/>
      <c r="AJ1383" s="47"/>
      <c r="AK1383" s="47"/>
      <c r="AL1383" s="47"/>
      <c r="AM1383" s="47"/>
      <c r="AN1383" s="47"/>
      <c r="AO1383" s="47"/>
      <c r="AP1383" s="47"/>
      <c r="AQ1383" s="47"/>
      <c r="AR1383" s="47"/>
      <c r="AS1383" s="47"/>
      <c r="AT1383" s="47"/>
      <c r="AU1383" s="47"/>
      <c r="AV1383" s="47"/>
    </row>
    <row r="1384" spans="1:48" s="81" customFormat="1" ht="18" customHeight="1">
      <c r="A1384" s="12"/>
      <c r="B1384" s="97" t="s">
        <v>562</v>
      </c>
      <c r="C1384" s="29" t="s">
        <v>563</v>
      </c>
      <c r="D1384" s="51"/>
      <c r="E1384" s="51"/>
      <c r="F1384" s="51"/>
      <c r="G1384" s="51"/>
      <c r="H1384" s="51"/>
      <c r="I1384" s="51"/>
      <c r="J1384" s="51"/>
      <c r="K1384" s="51"/>
      <c r="L1384" s="40">
        <v>1</v>
      </c>
      <c r="M1384" s="40">
        <v>1</v>
      </c>
      <c r="N1384" s="40">
        <v>1</v>
      </c>
      <c r="O1384" s="40">
        <v>1</v>
      </c>
      <c r="P1384" s="40">
        <v>1</v>
      </c>
      <c r="Q1384" s="30"/>
      <c r="R1384" s="30"/>
      <c r="S1384" s="79"/>
      <c r="T1384" s="80"/>
      <c r="U1384" s="80"/>
      <c r="V1384" s="80"/>
      <c r="W1384" s="80"/>
      <c r="X1384" s="80"/>
      <c r="Y1384" s="80"/>
      <c r="Z1384" s="80"/>
      <c r="AA1384" s="80"/>
      <c r="AB1384" s="80"/>
      <c r="AC1384" s="80"/>
      <c r="AD1384" s="80"/>
      <c r="AE1384" s="80"/>
      <c r="AF1384" s="80"/>
      <c r="AG1384" s="80"/>
      <c r="AH1384" s="80"/>
      <c r="AI1384" s="80"/>
      <c r="AJ1384" s="80"/>
      <c r="AK1384" s="80"/>
      <c r="AL1384" s="80"/>
      <c r="AM1384" s="80"/>
      <c r="AN1384" s="80"/>
      <c r="AO1384" s="80"/>
      <c r="AP1384" s="80"/>
      <c r="AQ1384" s="80"/>
      <c r="AR1384" s="80"/>
      <c r="AS1384" s="80"/>
      <c r="AT1384" s="80"/>
      <c r="AU1384" s="80"/>
      <c r="AV1384" s="80"/>
    </row>
    <row r="1385" spans="1:48" s="27" customFormat="1" ht="18" customHeight="1">
      <c r="A1385" s="12"/>
      <c r="B1385" s="93" t="s">
        <v>670</v>
      </c>
      <c r="C1385" s="29"/>
      <c r="D1385" s="51"/>
      <c r="E1385" s="51"/>
      <c r="F1385" s="51"/>
      <c r="G1385" s="51"/>
      <c r="H1385" s="51"/>
      <c r="I1385" s="51"/>
      <c r="J1385" s="51"/>
      <c r="K1385" s="51"/>
      <c r="L1385" s="40">
        <f>L1386</f>
        <v>1</v>
      </c>
      <c r="M1385" s="40">
        <f>M1386</f>
        <v>1</v>
      </c>
      <c r="N1385" s="40">
        <f>N1386</f>
        <v>1</v>
      </c>
      <c r="O1385" s="40">
        <f>O1386</f>
        <v>1</v>
      </c>
      <c r="P1385" s="40">
        <f>P1386</f>
        <v>1</v>
      </c>
      <c r="Q1385" s="30"/>
      <c r="R1385" s="30"/>
      <c r="S1385" s="30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</row>
    <row r="1386" spans="1:48" s="27" customFormat="1" ht="18" customHeight="1">
      <c r="A1386" s="12"/>
      <c r="B1386" s="97" t="s">
        <v>133</v>
      </c>
      <c r="C1386" s="29" t="s">
        <v>134</v>
      </c>
      <c r="D1386" s="51"/>
      <c r="E1386" s="51"/>
      <c r="F1386" s="51"/>
      <c r="G1386" s="51"/>
      <c r="H1386" s="51"/>
      <c r="I1386" s="51"/>
      <c r="J1386" s="51"/>
      <c r="K1386" s="51"/>
      <c r="L1386" s="40">
        <v>1</v>
      </c>
      <c r="M1386" s="40">
        <v>1</v>
      </c>
      <c r="N1386" s="40">
        <v>1</v>
      </c>
      <c r="O1386" s="40">
        <v>1</v>
      </c>
      <c r="P1386" s="40">
        <v>1</v>
      </c>
      <c r="Q1386" s="30"/>
      <c r="R1386" s="30"/>
      <c r="S1386" s="30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</row>
    <row r="1387" spans="1:188" s="57" customFormat="1" ht="16.5" customHeight="1">
      <c r="A1387" s="13">
        <v>74</v>
      </c>
      <c r="B1387" s="92" t="s">
        <v>234</v>
      </c>
      <c r="C1387" s="45"/>
      <c r="D1387" s="44">
        <v>228</v>
      </c>
      <c r="E1387" s="44">
        <v>11</v>
      </c>
      <c r="F1387" s="44"/>
      <c r="G1387" s="44">
        <v>230</v>
      </c>
      <c r="H1387" s="44">
        <v>232</v>
      </c>
      <c r="I1387" s="44">
        <v>234</v>
      </c>
      <c r="J1387" s="44"/>
      <c r="K1387" s="44">
        <v>236</v>
      </c>
      <c r="L1387" s="44">
        <f>SUM(L1388,L1393)</f>
        <v>4</v>
      </c>
      <c r="M1387" s="44">
        <f>SUM(M1388,M1393)</f>
        <v>4</v>
      </c>
      <c r="N1387" s="44">
        <f>SUM(N1388,N1393)</f>
        <v>4</v>
      </c>
      <c r="O1387" s="44">
        <f>SUM(O1388,O1393)</f>
        <v>4</v>
      </c>
      <c r="P1387" s="44">
        <f>SUM(P1388,P1393)</f>
        <v>4</v>
      </c>
      <c r="Q1387" s="54" t="s">
        <v>649</v>
      </c>
      <c r="R1387" s="54">
        <v>6</v>
      </c>
      <c r="S1387" s="55" t="s">
        <v>1340</v>
      </c>
      <c r="T1387" s="56"/>
      <c r="U1387" s="56"/>
      <c r="V1387" s="56"/>
      <c r="W1387" s="56"/>
      <c r="X1387" s="56"/>
      <c r="Y1387" s="56"/>
      <c r="Z1387" s="56"/>
      <c r="AA1387" s="56"/>
      <c r="AB1387" s="56"/>
      <c r="AC1387" s="56"/>
      <c r="AD1387" s="56"/>
      <c r="AE1387" s="56"/>
      <c r="AF1387" s="56"/>
      <c r="AG1387" s="56"/>
      <c r="AH1387" s="56"/>
      <c r="AI1387" s="56"/>
      <c r="AJ1387" s="56"/>
      <c r="AK1387" s="56"/>
      <c r="AL1387" s="56"/>
      <c r="AM1387" s="56"/>
      <c r="AN1387" s="56"/>
      <c r="AO1387" s="56"/>
      <c r="AP1387" s="56"/>
      <c r="AQ1387" s="56"/>
      <c r="AR1387" s="56"/>
      <c r="AS1387" s="56"/>
      <c r="AT1387" s="56"/>
      <c r="AU1387" s="56"/>
      <c r="AV1387" s="56"/>
      <c r="AW1387" s="56"/>
      <c r="AX1387" s="56"/>
      <c r="AY1387" s="56"/>
      <c r="AZ1387" s="56"/>
      <c r="BA1387" s="56"/>
      <c r="BB1387" s="56"/>
      <c r="BC1387" s="56"/>
      <c r="BD1387" s="56"/>
      <c r="BE1387" s="56"/>
      <c r="BF1387" s="56"/>
      <c r="BG1387" s="56"/>
      <c r="BH1387" s="56"/>
      <c r="BI1387" s="56"/>
      <c r="BJ1387" s="56"/>
      <c r="BK1387" s="56"/>
      <c r="BL1387" s="56"/>
      <c r="BM1387" s="56"/>
      <c r="BN1387" s="56"/>
      <c r="BO1387" s="56"/>
      <c r="BP1387" s="56"/>
      <c r="BQ1387" s="56"/>
      <c r="BR1387" s="56"/>
      <c r="BS1387" s="56"/>
      <c r="BT1387" s="56"/>
      <c r="BU1387" s="56"/>
      <c r="BV1387" s="56"/>
      <c r="BW1387" s="56"/>
      <c r="BX1387" s="56"/>
      <c r="BY1387" s="56"/>
      <c r="BZ1387" s="56"/>
      <c r="CA1387" s="56"/>
      <c r="CB1387" s="56"/>
      <c r="CC1387" s="56"/>
      <c r="CD1387" s="56"/>
      <c r="CE1387" s="56"/>
      <c r="CF1387" s="56"/>
      <c r="CG1387" s="56"/>
      <c r="CH1387" s="56"/>
      <c r="CI1387" s="56"/>
      <c r="CJ1387" s="56"/>
      <c r="CK1387" s="56"/>
      <c r="CL1387" s="56"/>
      <c r="CM1387" s="56"/>
      <c r="CN1387" s="56"/>
      <c r="CO1387" s="56"/>
      <c r="CP1387" s="56"/>
      <c r="CQ1387" s="56"/>
      <c r="CR1387" s="56"/>
      <c r="CS1387" s="56"/>
      <c r="CT1387" s="56"/>
      <c r="CU1387" s="56"/>
      <c r="CV1387" s="56"/>
      <c r="CW1387" s="56"/>
      <c r="CX1387" s="56"/>
      <c r="CY1387" s="56"/>
      <c r="CZ1387" s="56"/>
      <c r="DA1387" s="56"/>
      <c r="DB1387" s="56"/>
      <c r="DC1387" s="56"/>
      <c r="DD1387" s="56"/>
      <c r="DE1387" s="56"/>
      <c r="DF1387" s="56"/>
      <c r="DG1387" s="56"/>
      <c r="DH1387" s="56"/>
      <c r="DI1387" s="56"/>
      <c r="DJ1387" s="56"/>
      <c r="DK1387" s="56"/>
      <c r="DL1387" s="56"/>
      <c r="DM1387" s="56"/>
      <c r="DN1387" s="56"/>
      <c r="DO1387" s="56"/>
      <c r="DP1387" s="56"/>
      <c r="DQ1387" s="56"/>
      <c r="DR1387" s="56"/>
      <c r="DS1387" s="56"/>
      <c r="DT1387" s="56"/>
      <c r="DU1387" s="56"/>
      <c r="DV1387" s="56"/>
      <c r="DW1387" s="56"/>
      <c r="DX1387" s="56"/>
      <c r="DY1387" s="56"/>
      <c r="DZ1387" s="56"/>
      <c r="EA1387" s="56"/>
      <c r="EB1387" s="56"/>
      <c r="EC1387" s="56"/>
      <c r="ED1387" s="56"/>
      <c r="EE1387" s="56"/>
      <c r="EF1387" s="56"/>
      <c r="EG1387" s="56"/>
      <c r="EH1387" s="56"/>
      <c r="EI1387" s="56"/>
      <c r="EJ1387" s="56"/>
      <c r="EK1387" s="56"/>
      <c r="EL1387" s="56"/>
      <c r="EM1387" s="56"/>
      <c r="EN1387" s="56"/>
      <c r="EO1387" s="56"/>
      <c r="EP1387" s="56"/>
      <c r="EQ1387" s="56"/>
      <c r="ER1387" s="56"/>
      <c r="ES1387" s="56"/>
      <c r="ET1387" s="56"/>
      <c r="EU1387" s="56"/>
      <c r="EV1387" s="56"/>
      <c r="EW1387" s="56"/>
      <c r="EX1387" s="56"/>
      <c r="EY1387" s="56"/>
      <c r="EZ1387" s="56"/>
      <c r="FA1387" s="56"/>
      <c r="FB1387" s="56"/>
      <c r="FC1387" s="56"/>
      <c r="FD1387" s="56"/>
      <c r="FE1387" s="56"/>
      <c r="FF1387" s="56"/>
      <c r="FG1387" s="56"/>
      <c r="FH1387" s="56"/>
      <c r="FI1387" s="56"/>
      <c r="FJ1387" s="56"/>
      <c r="FK1387" s="56"/>
      <c r="FL1387" s="56"/>
      <c r="FM1387" s="56"/>
      <c r="FN1387" s="56"/>
      <c r="FO1387" s="56"/>
      <c r="FP1387" s="56"/>
      <c r="FQ1387" s="56"/>
      <c r="FR1387" s="56"/>
      <c r="FS1387" s="56"/>
      <c r="FT1387" s="56"/>
      <c r="FU1387" s="56"/>
      <c r="FV1387" s="56"/>
      <c r="FW1387" s="56"/>
      <c r="FX1387" s="56"/>
      <c r="FY1387" s="56"/>
      <c r="FZ1387" s="56"/>
      <c r="GA1387" s="56"/>
      <c r="GB1387" s="56"/>
      <c r="GC1387" s="56"/>
      <c r="GD1387" s="56"/>
      <c r="GE1387" s="56"/>
      <c r="GF1387" s="56"/>
    </row>
    <row r="1388" spans="1:48" s="18" customFormat="1" ht="16.5" customHeight="1">
      <c r="A1388" s="50"/>
      <c r="B1388" s="93" t="s">
        <v>669</v>
      </c>
      <c r="C1388" s="16"/>
      <c r="D1388" s="52"/>
      <c r="E1388" s="52"/>
      <c r="F1388" s="52"/>
      <c r="G1388" s="52"/>
      <c r="H1388" s="52"/>
      <c r="I1388" s="52"/>
      <c r="J1388" s="52"/>
      <c r="K1388" s="52"/>
      <c r="L1388" s="60">
        <f>SUM(L1389:L1390)</f>
        <v>2</v>
      </c>
      <c r="M1388" s="60">
        <f>SUM(M1389:M1390)</f>
        <v>2</v>
      </c>
      <c r="N1388" s="60">
        <f>SUM(N1389:N1390)</f>
        <v>2</v>
      </c>
      <c r="O1388" s="60">
        <f>SUM(O1389:O1390)</f>
        <v>2</v>
      </c>
      <c r="P1388" s="60">
        <f>SUM(P1389:P1390)</f>
        <v>2</v>
      </c>
      <c r="Q1388" s="23"/>
      <c r="R1388" s="23"/>
      <c r="S1388" s="17"/>
      <c r="T1388" s="47"/>
      <c r="U1388" s="47"/>
      <c r="V1388" s="47"/>
      <c r="W1388" s="47"/>
      <c r="X1388" s="47"/>
      <c r="Y1388" s="47"/>
      <c r="Z1388" s="47"/>
      <c r="AA1388" s="47"/>
      <c r="AB1388" s="47"/>
      <c r="AC1388" s="47"/>
      <c r="AD1388" s="47"/>
      <c r="AE1388" s="47"/>
      <c r="AF1388" s="47"/>
      <c r="AG1388" s="47"/>
      <c r="AH1388" s="47"/>
      <c r="AI1388" s="47"/>
      <c r="AJ1388" s="47"/>
      <c r="AK1388" s="47"/>
      <c r="AL1388" s="47"/>
      <c r="AM1388" s="47"/>
      <c r="AN1388" s="47"/>
      <c r="AO1388" s="47"/>
      <c r="AP1388" s="47"/>
      <c r="AQ1388" s="47"/>
      <c r="AR1388" s="47"/>
      <c r="AS1388" s="47"/>
      <c r="AT1388" s="47"/>
      <c r="AU1388" s="47"/>
      <c r="AV1388" s="47"/>
    </row>
    <row r="1389" spans="1:48" s="18" customFormat="1" ht="16.5" customHeight="1">
      <c r="A1389" s="50"/>
      <c r="B1389" s="97" t="s">
        <v>564</v>
      </c>
      <c r="C1389" s="15" t="s">
        <v>565</v>
      </c>
      <c r="D1389" s="52"/>
      <c r="E1389" s="52"/>
      <c r="F1389" s="52"/>
      <c r="G1389" s="52"/>
      <c r="H1389" s="52"/>
      <c r="I1389" s="52"/>
      <c r="J1389" s="52"/>
      <c r="K1389" s="52"/>
      <c r="L1389" s="40">
        <v>1</v>
      </c>
      <c r="M1389" s="40">
        <v>1</v>
      </c>
      <c r="N1389" s="40">
        <v>1</v>
      </c>
      <c r="O1389" s="40">
        <v>1</v>
      </c>
      <c r="P1389" s="40">
        <v>1</v>
      </c>
      <c r="Q1389" s="77"/>
      <c r="R1389" s="77"/>
      <c r="S1389" s="78"/>
      <c r="T1389" s="47"/>
      <c r="U1389" s="47"/>
      <c r="V1389" s="47"/>
      <c r="W1389" s="47"/>
      <c r="X1389" s="47"/>
      <c r="Y1389" s="47"/>
      <c r="Z1389" s="47"/>
      <c r="AA1389" s="47"/>
      <c r="AB1389" s="47"/>
      <c r="AC1389" s="47"/>
      <c r="AD1389" s="47"/>
      <c r="AE1389" s="47"/>
      <c r="AF1389" s="47"/>
      <c r="AG1389" s="47"/>
      <c r="AH1389" s="47"/>
      <c r="AI1389" s="47"/>
      <c r="AJ1389" s="47"/>
      <c r="AK1389" s="47"/>
      <c r="AL1389" s="47"/>
      <c r="AM1389" s="47"/>
      <c r="AN1389" s="47"/>
      <c r="AO1389" s="47"/>
      <c r="AP1389" s="47"/>
      <c r="AQ1389" s="47"/>
      <c r="AR1389" s="47"/>
      <c r="AS1389" s="47"/>
      <c r="AT1389" s="47"/>
      <c r="AU1389" s="47"/>
      <c r="AV1389" s="47"/>
    </row>
    <row r="1390" spans="1:48" s="18" customFormat="1" ht="16.5" customHeight="1">
      <c r="A1390" s="50"/>
      <c r="B1390" s="97" t="s">
        <v>599</v>
      </c>
      <c r="C1390" s="29" t="s">
        <v>600</v>
      </c>
      <c r="D1390" s="52"/>
      <c r="E1390" s="52"/>
      <c r="F1390" s="52"/>
      <c r="G1390" s="52"/>
      <c r="H1390" s="52"/>
      <c r="I1390" s="52"/>
      <c r="J1390" s="52"/>
      <c r="K1390" s="52"/>
      <c r="L1390" s="40">
        <v>1</v>
      </c>
      <c r="M1390" s="40">
        <v>1</v>
      </c>
      <c r="N1390" s="40">
        <v>1</v>
      </c>
      <c r="O1390" s="40">
        <v>1</v>
      </c>
      <c r="P1390" s="40">
        <v>1</v>
      </c>
      <c r="Q1390" s="77"/>
      <c r="R1390" s="77"/>
      <c r="S1390" s="78"/>
      <c r="T1390" s="47"/>
      <c r="U1390" s="47"/>
      <c r="V1390" s="47"/>
      <c r="W1390" s="47"/>
      <c r="X1390" s="47"/>
      <c r="Y1390" s="47"/>
      <c r="Z1390" s="47"/>
      <c r="AA1390" s="47"/>
      <c r="AB1390" s="47"/>
      <c r="AC1390" s="47"/>
      <c r="AD1390" s="47"/>
      <c r="AE1390" s="47"/>
      <c r="AF1390" s="47"/>
      <c r="AG1390" s="47"/>
      <c r="AH1390" s="47"/>
      <c r="AI1390" s="47"/>
      <c r="AJ1390" s="47"/>
      <c r="AK1390" s="47"/>
      <c r="AL1390" s="47"/>
      <c r="AM1390" s="47"/>
      <c r="AN1390" s="47"/>
      <c r="AO1390" s="47"/>
      <c r="AP1390" s="47"/>
      <c r="AQ1390" s="47"/>
      <c r="AR1390" s="47"/>
      <c r="AS1390" s="47"/>
      <c r="AT1390" s="47"/>
      <c r="AU1390" s="47"/>
      <c r="AV1390" s="47"/>
    </row>
    <row r="1391" spans="1:48" s="27" customFormat="1" ht="18" customHeight="1">
      <c r="A1391" s="12"/>
      <c r="B1391" s="93" t="s">
        <v>670</v>
      </c>
      <c r="C1391" s="29"/>
      <c r="D1391" s="51"/>
      <c r="E1391" s="51"/>
      <c r="F1391" s="51"/>
      <c r="G1391" s="51"/>
      <c r="H1391" s="51"/>
      <c r="I1391" s="51"/>
      <c r="J1391" s="51"/>
      <c r="K1391" s="51"/>
      <c r="L1391" s="60">
        <f>L1392</f>
        <v>2</v>
      </c>
      <c r="M1391" s="60">
        <f>M1392</f>
        <v>2</v>
      </c>
      <c r="N1391" s="60">
        <f>N1392</f>
        <v>2</v>
      </c>
      <c r="O1391" s="60">
        <f>O1392</f>
        <v>2</v>
      </c>
      <c r="P1391" s="60">
        <f>P1392</f>
        <v>2</v>
      </c>
      <c r="Q1391" s="30"/>
      <c r="R1391" s="30"/>
      <c r="S1391" s="30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</row>
    <row r="1392" spans="1:48" s="27" customFormat="1" ht="18" customHeight="1">
      <c r="A1392" s="12"/>
      <c r="B1392" s="97" t="s">
        <v>133</v>
      </c>
      <c r="C1392" s="29" t="s">
        <v>134</v>
      </c>
      <c r="D1392" s="51"/>
      <c r="E1392" s="51"/>
      <c r="F1392" s="51"/>
      <c r="G1392" s="51"/>
      <c r="H1392" s="51"/>
      <c r="I1392" s="51"/>
      <c r="J1392" s="51"/>
      <c r="K1392" s="51"/>
      <c r="L1392" s="40">
        <v>2</v>
      </c>
      <c r="M1392" s="40">
        <v>2</v>
      </c>
      <c r="N1392" s="40">
        <v>2</v>
      </c>
      <c r="O1392" s="40">
        <v>2</v>
      </c>
      <c r="P1392" s="40">
        <v>2</v>
      </c>
      <c r="Q1392" s="30"/>
      <c r="R1392" s="30"/>
      <c r="S1392" s="30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</row>
    <row r="1393" spans="1:57" s="43" customFormat="1" ht="16.5" customHeight="1">
      <c r="A1393" s="63"/>
      <c r="B1393" s="104" t="s">
        <v>37</v>
      </c>
      <c r="C1393" s="45"/>
      <c r="D1393" s="40"/>
      <c r="E1393" s="40"/>
      <c r="F1393" s="223"/>
      <c r="G1393" s="223"/>
      <c r="H1393" s="223"/>
      <c r="I1393" s="223"/>
      <c r="J1393" s="223"/>
      <c r="K1393" s="223"/>
      <c r="L1393" s="122">
        <f>L1394</f>
        <v>2</v>
      </c>
      <c r="M1393" s="122">
        <f>M1394</f>
        <v>2</v>
      </c>
      <c r="N1393" s="122">
        <f>N1394</f>
        <v>2</v>
      </c>
      <c r="O1393" s="122">
        <f>O1394</f>
        <v>2</v>
      </c>
      <c r="P1393" s="122">
        <f>P1394</f>
        <v>2</v>
      </c>
      <c r="Q1393" s="70"/>
      <c r="R1393" s="41"/>
      <c r="S1393" s="41"/>
      <c r="T1393" s="46"/>
      <c r="U1393" s="46"/>
      <c r="V1393" s="46"/>
      <c r="W1393" s="46"/>
      <c r="X1393" s="46"/>
      <c r="Y1393" s="46"/>
      <c r="Z1393" s="46"/>
      <c r="AA1393" s="46"/>
      <c r="AB1393" s="46"/>
      <c r="AC1393" s="46"/>
      <c r="AD1393" s="46"/>
      <c r="AE1393" s="46"/>
      <c r="AF1393" s="46"/>
      <c r="AG1393" s="46"/>
      <c r="AH1393" s="46"/>
      <c r="AI1393" s="46"/>
      <c r="AJ1393" s="46"/>
      <c r="AK1393" s="46"/>
      <c r="AL1393" s="46"/>
      <c r="AM1393" s="46"/>
      <c r="AN1393" s="46"/>
      <c r="AO1393" s="46"/>
      <c r="AP1393" s="46"/>
      <c r="AQ1393" s="46"/>
      <c r="AR1393" s="46"/>
      <c r="AS1393" s="46"/>
      <c r="AT1393" s="46"/>
      <c r="AU1393" s="46"/>
      <c r="AV1393" s="46"/>
      <c r="BA1393" s="49"/>
      <c r="BB1393" s="42"/>
      <c r="BC1393" s="42"/>
      <c r="BD1393" s="42"/>
      <c r="BE1393" s="42"/>
    </row>
    <row r="1394" spans="1:57" s="43" customFormat="1" ht="16.5" customHeight="1">
      <c r="A1394" s="63"/>
      <c r="B1394" s="105" t="s">
        <v>893</v>
      </c>
      <c r="C1394" s="15" t="s">
        <v>894</v>
      </c>
      <c r="D1394" s="51"/>
      <c r="E1394" s="51"/>
      <c r="F1394" s="51" t="s">
        <v>556</v>
      </c>
      <c r="G1394" s="51">
        <v>5</v>
      </c>
      <c r="H1394" s="51">
        <v>7</v>
      </c>
      <c r="I1394" s="51">
        <v>9</v>
      </c>
      <c r="J1394" s="51"/>
      <c r="K1394" s="51">
        <v>11</v>
      </c>
      <c r="L1394" s="40">
        <v>2</v>
      </c>
      <c r="M1394" s="40">
        <v>2</v>
      </c>
      <c r="N1394" s="40">
        <v>2</v>
      </c>
      <c r="O1394" s="40">
        <v>2</v>
      </c>
      <c r="P1394" s="40">
        <v>2</v>
      </c>
      <c r="Q1394" s="70"/>
      <c r="R1394" s="41"/>
      <c r="S1394" s="41"/>
      <c r="T1394" s="46"/>
      <c r="U1394" s="46"/>
      <c r="V1394" s="46"/>
      <c r="W1394" s="46"/>
      <c r="X1394" s="46"/>
      <c r="Y1394" s="46"/>
      <c r="Z1394" s="46"/>
      <c r="AA1394" s="46"/>
      <c r="AB1394" s="46"/>
      <c r="AC1394" s="46"/>
      <c r="AD1394" s="46"/>
      <c r="AE1394" s="46"/>
      <c r="AF1394" s="46"/>
      <c r="AG1394" s="46"/>
      <c r="AH1394" s="46"/>
      <c r="AI1394" s="46"/>
      <c r="AJ1394" s="46"/>
      <c r="AK1394" s="46"/>
      <c r="AL1394" s="46"/>
      <c r="AM1394" s="46"/>
      <c r="AN1394" s="46"/>
      <c r="AO1394" s="46"/>
      <c r="AP1394" s="46"/>
      <c r="AQ1394" s="46"/>
      <c r="AR1394" s="46"/>
      <c r="AS1394" s="46"/>
      <c r="AT1394" s="46"/>
      <c r="AU1394" s="46"/>
      <c r="AV1394" s="46"/>
      <c r="BA1394" s="49"/>
      <c r="BB1394" s="42"/>
      <c r="BC1394" s="42"/>
      <c r="BD1394" s="42"/>
      <c r="BE1394" s="42"/>
    </row>
    <row r="1395" spans="1:188" s="57" customFormat="1" ht="19.5" customHeight="1">
      <c r="A1395" s="13">
        <v>75</v>
      </c>
      <c r="B1395" s="92" t="s">
        <v>235</v>
      </c>
      <c r="C1395" s="45"/>
      <c r="D1395" s="44">
        <v>130</v>
      </c>
      <c r="E1395" s="44"/>
      <c r="F1395" s="44"/>
      <c r="G1395" s="44"/>
      <c r="H1395" s="44"/>
      <c r="I1395" s="44"/>
      <c r="J1395" s="44"/>
      <c r="K1395" s="44"/>
      <c r="L1395" s="44">
        <f>L1396+L1400</f>
        <v>20</v>
      </c>
      <c r="M1395" s="44">
        <f>M1396+M1400</f>
        <v>20</v>
      </c>
      <c r="N1395" s="44">
        <f>N1396+N1400</f>
        <v>20</v>
      </c>
      <c r="O1395" s="44">
        <f>O1396+O1400</f>
        <v>20</v>
      </c>
      <c r="P1395" s="44">
        <f>P1396+P1400</f>
        <v>20</v>
      </c>
      <c r="Q1395" s="54" t="s">
        <v>649</v>
      </c>
      <c r="R1395" s="54">
        <v>10</v>
      </c>
      <c r="S1395" s="55" t="s">
        <v>667</v>
      </c>
      <c r="T1395" s="56"/>
      <c r="U1395" s="56"/>
      <c r="V1395" s="56"/>
      <c r="W1395" s="56"/>
      <c r="X1395" s="56"/>
      <c r="Y1395" s="56"/>
      <c r="Z1395" s="56"/>
      <c r="AA1395" s="56"/>
      <c r="AB1395" s="56"/>
      <c r="AC1395" s="56"/>
      <c r="AD1395" s="56"/>
      <c r="AE1395" s="56"/>
      <c r="AF1395" s="56"/>
      <c r="AG1395" s="56"/>
      <c r="AH1395" s="56"/>
      <c r="AI1395" s="56"/>
      <c r="AJ1395" s="56"/>
      <c r="AK1395" s="56"/>
      <c r="AL1395" s="56"/>
      <c r="AM1395" s="56"/>
      <c r="AN1395" s="56"/>
      <c r="AO1395" s="56"/>
      <c r="AP1395" s="56"/>
      <c r="AQ1395" s="56"/>
      <c r="AR1395" s="56"/>
      <c r="AS1395" s="56"/>
      <c r="AT1395" s="56"/>
      <c r="AU1395" s="56"/>
      <c r="AV1395" s="56"/>
      <c r="AW1395" s="56"/>
      <c r="AX1395" s="56"/>
      <c r="AY1395" s="56"/>
      <c r="AZ1395" s="56"/>
      <c r="BA1395" s="56"/>
      <c r="BB1395" s="56"/>
      <c r="BC1395" s="56"/>
      <c r="BD1395" s="56"/>
      <c r="BE1395" s="56"/>
      <c r="BF1395" s="56"/>
      <c r="BG1395" s="56"/>
      <c r="BH1395" s="56"/>
      <c r="BI1395" s="56"/>
      <c r="BJ1395" s="56"/>
      <c r="BK1395" s="56"/>
      <c r="BL1395" s="56"/>
      <c r="BM1395" s="56"/>
      <c r="BN1395" s="56"/>
      <c r="BO1395" s="56"/>
      <c r="BP1395" s="56"/>
      <c r="BQ1395" s="56"/>
      <c r="BR1395" s="56"/>
      <c r="BS1395" s="56"/>
      <c r="BT1395" s="56"/>
      <c r="BU1395" s="56"/>
      <c r="BV1395" s="56"/>
      <c r="BW1395" s="56"/>
      <c r="BX1395" s="56"/>
      <c r="BY1395" s="56"/>
      <c r="BZ1395" s="56"/>
      <c r="CA1395" s="56"/>
      <c r="CB1395" s="56"/>
      <c r="CC1395" s="56"/>
      <c r="CD1395" s="56"/>
      <c r="CE1395" s="56"/>
      <c r="CF1395" s="56"/>
      <c r="CG1395" s="56"/>
      <c r="CH1395" s="56"/>
      <c r="CI1395" s="56"/>
      <c r="CJ1395" s="56"/>
      <c r="CK1395" s="56"/>
      <c r="CL1395" s="56"/>
      <c r="CM1395" s="56"/>
      <c r="CN1395" s="56"/>
      <c r="CO1395" s="56"/>
      <c r="CP1395" s="56"/>
      <c r="CQ1395" s="56"/>
      <c r="CR1395" s="56"/>
      <c r="CS1395" s="56"/>
      <c r="CT1395" s="56"/>
      <c r="CU1395" s="56"/>
      <c r="CV1395" s="56"/>
      <c r="CW1395" s="56"/>
      <c r="CX1395" s="56"/>
      <c r="CY1395" s="56"/>
      <c r="CZ1395" s="56"/>
      <c r="DA1395" s="56"/>
      <c r="DB1395" s="56"/>
      <c r="DC1395" s="56"/>
      <c r="DD1395" s="56"/>
      <c r="DE1395" s="56"/>
      <c r="DF1395" s="56"/>
      <c r="DG1395" s="56"/>
      <c r="DH1395" s="56"/>
      <c r="DI1395" s="56"/>
      <c r="DJ1395" s="56"/>
      <c r="DK1395" s="56"/>
      <c r="DL1395" s="56"/>
      <c r="DM1395" s="56"/>
      <c r="DN1395" s="56"/>
      <c r="DO1395" s="56"/>
      <c r="DP1395" s="56"/>
      <c r="DQ1395" s="56"/>
      <c r="DR1395" s="56"/>
      <c r="DS1395" s="56"/>
      <c r="DT1395" s="56"/>
      <c r="DU1395" s="56"/>
      <c r="DV1395" s="56"/>
      <c r="DW1395" s="56"/>
      <c r="DX1395" s="56"/>
      <c r="DY1395" s="56"/>
      <c r="DZ1395" s="56"/>
      <c r="EA1395" s="56"/>
      <c r="EB1395" s="56"/>
      <c r="EC1395" s="56"/>
      <c r="ED1395" s="56"/>
      <c r="EE1395" s="56"/>
      <c r="EF1395" s="56"/>
      <c r="EG1395" s="56"/>
      <c r="EH1395" s="56"/>
      <c r="EI1395" s="56"/>
      <c r="EJ1395" s="56"/>
      <c r="EK1395" s="56"/>
      <c r="EL1395" s="56"/>
      <c r="EM1395" s="56"/>
      <c r="EN1395" s="56"/>
      <c r="EO1395" s="56"/>
      <c r="EP1395" s="56"/>
      <c r="EQ1395" s="56"/>
      <c r="ER1395" s="56"/>
      <c r="ES1395" s="56"/>
      <c r="ET1395" s="56"/>
      <c r="EU1395" s="56"/>
      <c r="EV1395" s="56"/>
      <c r="EW1395" s="56"/>
      <c r="EX1395" s="56"/>
      <c r="EY1395" s="56"/>
      <c r="EZ1395" s="56"/>
      <c r="FA1395" s="56"/>
      <c r="FB1395" s="56"/>
      <c r="FC1395" s="56"/>
      <c r="FD1395" s="56"/>
      <c r="FE1395" s="56"/>
      <c r="FF1395" s="56"/>
      <c r="FG1395" s="56"/>
      <c r="FH1395" s="56"/>
      <c r="FI1395" s="56"/>
      <c r="FJ1395" s="56"/>
      <c r="FK1395" s="56"/>
      <c r="FL1395" s="56"/>
      <c r="FM1395" s="56"/>
      <c r="FN1395" s="56"/>
      <c r="FO1395" s="56"/>
      <c r="FP1395" s="56"/>
      <c r="FQ1395" s="56"/>
      <c r="FR1395" s="56"/>
      <c r="FS1395" s="56"/>
      <c r="FT1395" s="56"/>
      <c r="FU1395" s="56"/>
      <c r="FV1395" s="56"/>
      <c r="FW1395" s="56"/>
      <c r="FX1395" s="56"/>
      <c r="FY1395" s="56"/>
      <c r="FZ1395" s="56"/>
      <c r="GA1395" s="56"/>
      <c r="GB1395" s="56"/>
      <c r="GC1395" s="56"/>
      <c r="GD1395" s="56"/>
      <c r="GE1395" s="56"/>
      <c r="GF1395" s="56"/>
    </row>
    <row r="1396" spans="1:48" s="18" customFormat="1" ht="18" customHeight="1">
      <c r="A1396" s="50"/>
      <c r="B1396" s="93" t="s">
        <v>669</v>
      </c>
      <c r="C1396" s="16"/>
      <c r="D1396" s="52"/>
      <c r="E1396" s="52"/>
      <c r="F1396" s="52"/>
      <c r="G1396" s="52"/>
      <c r="H1396" s="52"/>
      <c r="I1396" s="52"/>
      <c r="J1396" s="52"/>
      <c r="K1396" s="52"/>
      <c r="L1396" s="60">
        <f>SUM(L1397:L1399)</f>
        <v>13</v>
      </c>
      <c r="M1396" s="60">
        <f>SUM(M1397:M1399)</f>
        <v>13</v>
      </c>
      <c r="N1396" s="60">
        <f>SUM(N1397:N1399)</f>
        <v>13</v>
      </c>
      <c r="O1396" s="60">
        <f>SUM(O1397:O1399)</f>
        <v>13</v>
      </c>
      <c r="P1396" s="60">
        <f>SUM(P1397:P1399)</f>
        <v>13</v>
      </c>
      <c r="Q1396" s="23"/>
      <c r="R1396" s="23"/>
      <c r="S1396" s="17"/>
      <c r="T1396" s="47"/>
      <c r="U1396" s="47"/>
      <c r="V1396" s="47"/>
      <c r="W1396" s="47"/>
      <c r="X1396" s="47"/>
      <c r="Y1396" s="47"/>
      <c r="Z1396" s="47"/>
      <c r="AA1396" s="47"/>
      <c r="AB1396" s="47"/>
      <c r="AC1396" s="47"/>
      <c r="AD1396" s="47"/>
      <c r="AE1396" s="47"/>
      <c r="AF1396" s="47"/>
      <c r="AG1396" s="47"/>
      <c r="AH1396" s="47"/>
      <c r="AI1396" s="47"/>
      <c r="AJ1396" s="47"/>
      <c r="AK1396" s="47"/>
      <c r="AL1396" s="47"/>
      <c r="AM1396" s="47"/>
      <c r="AN1396" s="47"/>
      <c r="AO1396" s="47"/>
      <c r="AP1396" s="47"/>
      <c r="AQ1396" s="47"/>
      <c r="AR1396" s="47"/>
      <c r="AS1396" s="47"/>
      <c r="AT1396" s="47"/>
      <c r="AU1396" s="47"/>
      <c r="AV1396" s="47"/>
    </row>
    <row r="1397" spans="1:48" s="18" customFormat="1" ht="18" customHeight="1">
      <c r="A1397" s="50"/>
      <c r="B1397" s="97" t="s">
        <v>564</v>
      </c>
      <c r="C1397" s="29" t="s">
        <v>565</v>
      </c>
      <c r="D1397" s="52"/>
      <c r="E1397" s="52"/>
      <c r="F1397" s="52"/>
      <c r="G1397" s="52"/>
      <c r="H1397" s="52"/>
      <c r="I1397" s="52"/>
      <c r="J1397" s="52"/>
      <c r="K1397" s="52"/>
      <c r="L1397" s="40">
        <v>8</v>
      </c>
      <c r="M1397" s="40">
        <v>8</v>
      </c>
      <c r="N1397" s="40">
        <v>8</v>
      </c>
      <c r="O1397" s="40">
        <v>8</v>
      </c>
      <c r="P1397" s="40">
        <v>8</v>
      </c>
      <c r="Q1397" s="77"/>
      <c r="R1397" s="77"/>
      <c r="S1397" s="78"/>
      <c r="T1397" s="47"/>
      <c r="U1397" s="47"/>
      <c r="V1397" s="47"/>
      <c r="W1397" s="47"/>
      <c r="X1397" s="47"/>
      <c r="Y1397" s="47"/>
      <c r="Z1397" s="47"/>
      <c r="AA1397" s="47"/>
      <c r="AB1397" s="47"/>
      <c r="AC1397" s="47"/>
      <c r="AD1397" s="47"/>
      <c r="AE1397" s="47"/>
      <c r="AF1397" s="47"/>
      <c r="AG1397" s="47"/>
      <c r="AH1397" s="47"/>
      <c r="AI1397" s="47"/>
      <c r="AJ1397" s="47"/>
      <c r="AK1397" s="47"/>
      <c r="AL1397" s="47"/>
      <c r="AM1397" s="47"/>
      <c r="AN1397" s="47"/>
      <c r="AO1397" s="47"/>
      <c r="AP1397" s="47"/>
      <c r="AQ1397" s="47"/>
      <c r="AR1397" s="47"/>
      <c r="AS1397" s="47"/>
      <c r="AT1397" s="47"/>
      <c r="AU1397" s="47"/>
      <c r="AV1397" s="47"/>
    </row>
    <row r="1398" spans="1:48" s="18" customFormat="1" ht="18" customHeight="1">
      <c r="A1398" s="50"/>
      <c r="B1398" s="97" t="s">
        <v>411</v>
      </c>
      <c r="C1398" s="29" t="s">
        <v>412</v>
      </c>
      <c r="D1398" s="52"/>
      <c r="E1398" s="52"/>
      <c r="F1398" s="52"/>
      <c r="G1398" s="52"/>
      <c r="H1398" s="52"/>
      <c r="I1398" s="52"/>
      <c r="J1398" s="52"/>
      <c r="K1398" s="52"/>
      <c r="L1398" s="40">
        <v>3</v>
      </c>
      <c r="M1398" s="40">
        <v>3</v>
      </c>
      <c r="N1398" s="40">
        <v>3</v>
      </c>
      <c r="O1398" s="40">
        <v>3</v>
      </c>
      <c r="P1398" s="40">
        <v>3</v>
      </c>
      <c r="Q1398" s="77"/>
      <c r="R1398" s="77"/>
      <c r="S1398" s="78"/>
      <c r="T1398" s="47"/>
      <c r="U1398" s="47"/>
      <c r="V1398" s="47"/>
      <c r="W1398" s="47"/>
      <c r="X1398" s="47"/>
      <c r="Y1398" s="47"/>
      <c r="Z1398" s="47"/>
      <c r="AA1398" s="47"/>
      <c r="AB1398" s="47"/>
      <c r="AC1398" s="47"/>
      <c r="AD1398" s="47"/>
      <c r="AE1398" s="47"/>
      <c r="AF1398" s="47"/>
      <c r="AG1398" s="47"/>
      <c r="AH1398" s="47"/>
      <c r="AI1398" s="47"/>
      <c r="AJ1398" s="47"/>
      <c r="AK1398" s="47"/>
      <c r="AL1398" s="47"/>
      <c r="AM1398" s="47"/>
      <c r="AN1398" s="47"/>
      <c r="AO1398" s="47"/>
      <c r="AP1398" s="47"/>
      <c r="AQ1398" s="47"/>
      <c r="AR1398" s="47"/>
      <c r="AS1398" s="47"/>
      <c r="AT1398" s="47"/>
      <c r="AU1398" s="47"/>
      <c r="AV1398" s="47"/>
    </row>
    <row r="1399" spans="1:48" s="27" customFormat="1" ht="18" customHeight="1">
      <c r="A1399" s="12"/>
      <c r="B1399" s="97" t="s">
        <v>1051</v>
      </c>
      <c r="C1399" s="29" t="s">
        <v>1052</v>
      </c>
      <c r="D1399" s="51"/>
      <c r="E1399" s="51"/>
      <c r="F1399" s="51"/>
      <c r="G1399" s="51"/>
      <c r="H1399" s="51"/>
      <c r="I1399" s="51"/>
      <c r="J1399" s="51"/>
      <c r="K1399" s="51"/>
      <c r="L1399" s="40">
        <v>2</v>
      </c>
      <c r="M1399" s="40">
        <v>2</v>
      </c>
      <c r="N1399" s="40">
        <v>2</v>
      </c>
      <c r="O1399" s="40">
        <v>2</v>
      </c>
      <c r="P1399" s="40">
        <v>2</v>
      </c>
      <c r="Q1399" s="30"/>
      <c r="R1399" s="30"/>
      <c r="S1399" s="30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</row>
    <row r="1400" spans="1:48" s="27" customFormat="1" ht="18" customHeight="1">
      <c r="A1400" s="12"/>
      <c r="B1400" s="93" t="s">
        <v>670</v>
      </c>
      <c r="C1400" s="29"/>
      <c r="D1400" s="51"/>
      <c r="E1400" s="51"/>
      <c r="F1400" s="51"/>
      <c r="G1400" s="51"/>
      <c r="H1400" s="51"/>
      <c r="I1400" s="51"/>
      <c r="J1400" s="51"/>
      <c r="K1400" s="51"/>
      <c r="L1400" s="60">
        <v>7</v>
      </c>
      <c r="M1400" s="60">
        <v>7</v>
      </c>
      <c r="N1400" s="60">
        <v>7</v>
      </c>
      <c r="O1400" s="60">
        <v>7</v>
      </c>
      <c r="P1400" s="60">
        <v>7</v>
      </c>
      <c r="Q1400" s="30"/>
      <c r="R1400" s="30"/>
      <c r="S1400" s="30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</row>
    <row r="1401" spans="1:48" s="27" customFormat="1" ht="18" customHeight="1">
      <c r="A1401" s="12"/>
      <c r="B1401" s="97" t="s">
        <v>301</v>
      </c>
      <c r="C1401" s="15" t="s">
        <v>302</v>
      </c>
      <c r="D1401" s="51"/>
      <c r="E1401" s="51"/>
      <c r="F1401" s="51"/>
      <c r="G1401" s="51"/>
      <c r="H1401" s="51"/>
      <c r="I1401" s="51"/>
      <c r="J1401" s="51"/>
      <c r="K1401" s="51"/>
      <c r="L1401" s="40">
        <v>2</v>
      </c>
      <c r="M1401" s="40">
        <v>2</v>
      </c>
      <c r="N1401" s="40">
        <v>2</v>
      </c>
      <c r="O1401" s="40">
        <v>2</v>
      </c>
      <c r="P1401" s="40">
        <v>2</v>
      </c>
      <c r="Q1401" s="30"/>
      <c r="R1401" s="30"/>
      <c r="S1401" s="30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</row>
    <row r="1402" spans="1:48" s="18" customFormat="1" ht="18" customHeight="1">
      <c r="A1402" s="50"/>
      <c r="B1402" s="97" t="s">
        <v>299</v>
      </c>
      <c r="C1402" s="29" t="s">
        <v>300</v>
      </c>
      <c r="D1402" s="52"/>
      <c r="E1402" s="52"/>
      <c r="F1402" s="52"/>
      <c r="G1402" s="52"/>
      <c r="H1402" s="52"/>
      <c r="I1402" s="52"/>
      <c r="J1402" s="52"/>
      <c r="K1402" s="52"/>
      <c r="L1402" s="40">
        <v>5</v>
      </c>
      <c r="M1402" s="40">
        <v>5</v>
      </c>
      <c r="N1402" s="40">
        <v>5</v>
      </c>
      <c r="O1402" s="40">
        <v>5</v>
      </c>
      <c r="P1402" s="40">
        <v>5</v>
      </c>
      <c r="Q1402" s="77"/>
      <c r="R1402" s="77"/>
      <c r="S1402" s="78"/>
      <c r="T1402" s="47"/>
      <c r="U1402" s="47"/>
      <c r="V1402" s="47"/>
      <c r="W1402" s="47"/>
      <c r="X1402" s="47"/>
      <c r="Y1402" s="47"/>
      <c r="Z1402" s="47"/>
      <c r="AA1402" s="47"/>
      <c r="AB1402" s="47"/>
      <c r="AC1402" s="47"/>
      <c r="AD1402" s="47"/>
      <c r="AE1402" s="47"/>
      <c r="AF1402" s="47"/>
      <c r="AG1402" s="47"/>
      <c r="AH1402" s="47"/>
      <c r="AI1402" s="47"/>
      <c r="AJ1402" s="47"/>
      <c r="AK1402" s="47"/>
      <c r="AL1402" s="47"/>
      <c r="AM1402" s="47"/>
      <c r="AN1402" s="47"/>
      <c r="AO1402" s="47"/>
      <c r="AP1402" s="47"/>
      <c r="AQ1402" s="47"/>
      <c r="AR1402" s="47"/>
      <c r="AS1402" s="47"/>
      <c r="AT1402" s="47"/>
      <c r="AU1402" s="47"/>
      <c r="AV1402" s="47"/>
    </row>
    <row r="1403" spans="1:19" ht="13.5" customHeight="1">
      <c r="A1403" s="400" t="s">
        <v>909</v>
      </c>
      <c r="B1403" s="400"/>
      <c r="C1403" s="400"/>
      <c r="D1403" s="400"/>
      <c r="E1403" s="400"/>
      <c r="F1403" s="400"/>
      <c r="G1403" s="400"/>
      <c r="H1403" s="400"/>
      <c r="I1403" s="400"/>
      <c r="J1403" s="400"/>
      <c r="K1403" s="400"/>
      <c r="L1403" s="400"/>
      <c r="M1403" s="400"/>
      <c r="N1403" s="400"/>
      <c r="O1403" s="400"/>
      <c r="P1403" s="400"/>
      <c r="Q1403" s="21"/>
      <c r="R1403" s="21"/>
      <c r="S1403" s="8"/>
    </row>
    <row r="1404" spans="1:188" s="57" customFormat="1" ht="18" customHeight="1">
      <c r="A1404" s="13">
        <v>76</v>
      </c>
      <c r="B1404" s="92" t="s">
        <v>361</v>
      </c>
      <c r="C1404" s="45"/>
      <c r="D1404" s="44">
        <v>84</v>
      </c>
      <c r="E1404" s="44">
        <v>7</v>
      </c>
      <c r="F1404" s="44"/>
      <c r="G1404" s="44"/>
      <c r="H1404" s="44"/>
      <c r="I1404" s="44"/>
      <c r="J1404" s="44"/>
      <c r="K1404" s="44"/>
      <c r="L1404" s="44">
        <f>L1405</f>
        <v>5</v>
      </c>
      <c r="M1404" s="44">
        <v>5</v>
      </c>
      <c r="N1404" s="44">
        <f>N1405</f>
        <v>4</v>
      </c>
      <c r="O1404" s="44" t="str">
        <f>O1405</f>
        <v> -</v>
      </c>
      <c r="P1404" s="44" t="str">
        <f>P1405</f>
        <v> -</v>
      </c>
      <c r="Q1404" s="54" t="s">
        <v>649</v>
      </c>
      <c r="R1404" s="54">
        <v>7</v>
      </c>
      <c r="S1404" s="55" t="s">
        <v>590</v>
      </c>
      <c r="T1404" s="56"/>
      <c r="U1404" s="56"/>
      <c r="V1404" s="56"/>
      <c r="W1404" s="56"/>
      <c r="X1404" s="56"/>
      <c r="Y1404" s="56"/>
      <c r="Z1404" s="56"/>
      <c r="AA1404" s="56"/>
      <c r="AB1404" s="56"/>
      <c r="AC1404" s="56"/>
      <c r="AD1404" s="56"/>
      <c r="AE1404" s="56"/>
      <c r="AF1404" s="56"/>
      <c r="AG1404" s="56"/>
      <c r="AH1404" s="56"/>
      <c r="AI1404" s="56"/>
      <c r="AJ1404" s="56"/>
      <c r="AK1404" s="56"/>
      <c r="AL1404" s="56"/>
      <c r="AM1404" s="56"/>
      <c r="AN1404" s="56"/>
      <c r="AO1404" s="56"/>
      <c r="AP1404" s="56"/>
      <c r="AQ1404" s="56"/>
      <c r="AR1404" s="56"/>
      <c r="AS1404" s="56"/>
      <c r="AT1404" s="56"/>
      <c r="AU1404" s="56"/>
      <c r="AV1404" s="56"/>
      <c r="AW1404" s="56"/>
      <c r="AX1404" s="56"/>
      <c r="AY1404" s="56"/>
      <c r="AZ1404" s="56"/>
      <c r="BA1404" s="56"/>
      <c r="BB1404" s="56"/>
      <c r="BC1404" s="56"/>
      <c r="BD1404" s="56"/>
      <c r="BE1404" s="56"/>
      <c r="BF1404" s="56"/>
      <c r="BG1404" s="56"/>
      <c r="BH1404" s="56"/>
      <c r="BI1404" s="56"/>
      <c r="BJ1404" s="56"/>
      <c r="BK1404" s="56"/>
      <c r="BL1404" s="56"/>
      <c r="BM1404" s="56"/>
      <c r="BN1404" s="56"/>
      <c r="BO1404" s="56"/>
      <c r="BP1404" s="56"/>
      <c r="BQ1404" s="56"/>
      <c r="BR1404" s="56"/>
      <c r="BS1404" s="56"/>
      <c r="BT1404" s="56"/>
      <c r="BU1404" s="56"/>
      <c r="BV1404" s="56"/>
      <c r="BW1404" s="56"/>
      <c r="BX1404" s="56"/>
      <c r="BY1404" s="56"/>
      <c r="BZ1404" s="56"/>
      <c r="CA1404" s="56"/>
      <c r="CB1404" s="56"/>
      <c r="CC1404" s="56"/>
      <c r="CD1404" s="56"/>
      <c r="CE1404" s="56"/>
      <c r="CF1404" s="56"/>
      <c r="CG1404" s="56"/>
      <c r="CH1404" s="56"/>
      <c r="CI1404" s="56"/>
      <c r="CJ1404" s="56"/>
      <c r="CK1404" s="56"/>
      <c r="CL1404" s="56"/>
      <c r="CM1404" s="56"/>
      <c r="CN1404" s="56"/>
      <c r="CO1404" s="56"/>
      <c r="CP1404" s="56"/>
      <c r="CQ1404" s="56"/>
      <c r="CR1404" s="56"/>
      <c r="CS1404" s="56"/>
      <c r="CT1404" s="56"/>
      <c r="CU1404" s="56"/>
      <c r="CV1404" s="56"/>
      <c r="CW1404" s="56"/>
      <c r="CX1404" s="56"/>
      <c r="CY1404" s="56"/>
      <c r="CZ1404" s="56"/>
      <c r="DA1404" s="56"/>
      <c r="DB1404" s="56"/>
      <c r="DC1404" s="56"/>
      <c r="DD1404" s="56"/>
      <c r="DE1404" s="56"/>
      <c r="DF1404" s="56"/>
      <c r="DG1404" s="56"/>
      <c r="DH1404" s="56"/>
      <c r="DI1404" s="56"/>
      <c r="DJ1404" s="56"/>
      <c r="DK1404" s="56"/>
      <c r="DL1404" s="56"/>
      <c r="DM1404" s="56"/>
      <c r="DN1404" s="56"/>
      <c r="DO1404" s="56"/>
      <c r="DP1404" s="56"/>
      <c r="DQ1404" s="56"/>
      <c r="DR1404" s="56"/>
      <c r="DS1404" s="56"/>
      <c r="DT1404" s="56"/>
      <c r="DU1404" s="56"/>
      <c r="DV1404" s="56"/>
      <c r="DW1404" s="56"/>
      <c r="DX1404" s="56"/>
      <c r="DY1404" s="56"/>
      <c r="DZ1404" s="56"/>
      <c r="EA1404" s="56"/>
      <c r="EB1404" s="56"/>
      <c r="EC1404" s="56"/>
      <c r="ED1404" s="56"/>
      <c r="EE1404" s="56"/>
      <c r="EF1404" s="56"/>
      <c r="EG1404" s="56"/>
      <c r="EH1404" s="56"/>
      <c r="EI1404" s="56"/>
      <c r="EJ1404" s="56"/>
      <c r="EK1404" s="56"/>
      <c r="EL1404" s="56"/>
      <c r="EM1404" s="56"/>
      <c r="EN1404" s="56"/>
      <c r="EO1404" s="56"/>
      <c r="EP1404" s="56"/>
      <c r="EQ1404" s="56"/>
      <c r="ER1404" s="56"/>
      <c r="ES1404" s="56"/>
      <c r="ET1404" s="56"/>
      <c r="EU1404" s="56"/>
      <c r="EV1404" s="56"/>
      <c r="EW1404" s="56"/>
      <c r="EX1404" s="56"/>
      <c r="EY1404" s="56"/>
      <c r="EZ1404" s="56"/>
      <c r="FA1404" s="56"/>
      <c r="FB1404" s="56"/>
      <c r="FC1404" s="56"/>
      <c r="FD1404" s="56"/>
      <c r="FE1404" s="56"/>
      <c r="FF1404" s="56"/>
      <c r="FG1404" s="56"/>
      <c r="FH1404" s="56"/>
      <c r="FI1404" s="56"/>
      <c r="FJ1404" s="56"/>
      <c r="FK1404" s="56"/>
      <c r="FL1404" s="56"/>
      <c r="FM1404" s="56"/>
      <c r="FN1404" s="56"/>
      <c r="FO1404" s="56"/>
      <c r="FP1404" s="56"/>
      <c r="FQ1404" s="56"/>
      <c r="FR1404" s="56"/>
      <c r="FS1404" s="56"/>
      <c r="FT1404" s="56"/>
      <c r="FU1404" s="56"/>
      <c r="FV1404" s="56"/>
      <c r="FW1404" s="56"/>
      <c r="FX1404" s="56"/>
      <c r="FY1404" s="56"/>
      <c r="FZ1404" s="56"/>
      <c r="GA1404" s="56"/>
      <c r="GB1404" s="56"/>
      <c r="GC1404" s="56"/>
      <c r="GD1404" s="56"/>
      <c r="GE1404" s="56"/>
      <c r="GF1404" s="56"/>
    </row>
    <row r="1405" spans="1:48" s="18" customFormat="1" ht="18" customHeight="1">
      <c r="A1405" s="50"/>
      <c r="B1405" s="93" t="s">
        <v>669</v>
      </c>
      <c r="C1405" s="16"/>
      <c r="D1405" s="52"/>
      <c r="E1405" s="52"/>
      <c r="F1405" s="52"/>
      <c r="G1405" s="52"/>
      <c r="H1405" s="52"/>
      <c r="I1405" s="52"/>
      <c r="J1405" s="52"/>
      <c r="K1405" s="52"/>
      <c r="L1405" s="60">
        <f>SUM(L1406:L1406)</f>
        <v>5</v>
      </c>
      <c r="M1405" s="60">
        <f>SUM(M1406:M1406)</f>
        <v>3</v>
      </c>
      <c r="N1405" s="60">
        <f>SUM(N1406:N1406)</f>
        <v>4</v>
      </c>
      <c r="O1405" s="60" t="s">
        <v>556</v>
      </c>
      <c r="P1405" s="60" t="s">
        <v>556</v>
      </c>
      <c r="Q1405" s="23"/>
      <c r="R1405" s="23"/>
      <c r="S1405" s="17"/>
      <c r="T1405" s="47"/>
      <c r="U1405" s="47"/>
      <c r="V1405" s="47"/>
      <c r="W1405" s="47"/>
      <c r="X1405" s="47"/>
      <c r="Y1405" s="47"/>
      <c r="Z1405" s="47"/>
      <c r="AA1405" s="47"/>
      <c r="AB1405" s="47"/>
      <c r="AC1405" s="47"/>
      <c r="AD1405" s="47"/>
      <c r="AE1405" s="47"/>
      <c r="AF1405" s="47"/>
      <c r="AG1405" s="47"/>
      <c r="AH1405" s="47"/>
      <c r="AI1405" s="47"/>
      <c r="AJ1405" s="47"/>
      <c r="AK1405" s="47"/>
      <c r="AL1405" s="47"/>
      <c r="AM1405" s="47"/>
      <c r="AN1405" s="47"/>
      <c r="AO1405" s="47"/>
      <c r="AP1405" s="47"/>
      <c r="AQ1405" s="47"/>
      <c r="AR1405" s="47"/>
      <c r="AS1405" s="47"/>
      <c r="AT1405" s="47"/>
      <c r="AU1405" s="47"/>
      <c r="AV1405" s="47"/>
    </row>
    <row r="1406" spans="1:48" s="27" customFormat="1" ht="18.75" customHeight="1">
      <c r="A1406" s="12"/>
      <c r="B1406" s="97" t="s">
        <v>555</v>
      </c>
      <c r="C1406" s="15" t="s">
        <v>445</v>
      </c>
      <c r="D1406" s="40"/>
      <c r="E1406" s="40"/>
      <c r="F1406" s="40"/>
      <c r="G1406" s="40"/>
      <c r="H1406" s="40"/>
      <c r="I1406" s="40"/>
      <c r="J1406" s="40"/>
      <c r="K1406" s="40"/>
      <c r="L1406" s="40">
        <v>5</v>
      </c>
      <c r="M1406" s="40">
        <v>3</v>
      </c>
      <c r="N1406" s="40">
        <v>4</v>
      </c>
      <c r="O1406" s="40" t="s">
        <v>556</v>
      </c>
      <c r="P1406" s="40" t="s">
        <v>556</v>
      </c>
      <c r="Q1406" s="30"/>
      <c r="R1406" s="30"/>
      <c r="S1406" s="30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</row>
    <row r="1407" spans="1:57" s="43" customFormat="1" ht="15.75">
      <c r="A1407" s="63"/>
      <c r="B1407" s="104" t="s">
        <v>670</v>
      </c>
      <c r="C1407" s="45"/>
      <c r="D1407" s="40"/>
      <c r="E1407" s="40"/>
      <c r="F1407" s="223"/>
      <c r="G1407" s="223"/>
      <c r="H1407" s="223"/>
      <c r="I1407" s="223"/>
      <c r="J1407" s="223"/>
      <c r="K1407" s="223"/>
      <c r="L1407" s="122" t="str">
        <f>L1409</f>
        <v> -</v>
      </c>
      <c r="M1407" s="122">
        <v>2</v>
      </c>
      <c r="N1407" s="122" t="s">
        <v>556</v>
      </c>
      <c r="O1407" s="122" t="str">
        <f>O1409</f>
        <v> -</v>
      </c>
      <c r="P1407" s="122" t="str">
        <f>P1409</f>
        <v> -</v>
      </c>
      <c r="Q1407" s="70"/>
      <c r="R1407" s="41"/>
      <c r="S1407" s="41"/>
      <c r="T1407" s="46"/>
      <c r="U1407" s="46"/>
      <c r="V1407" s="46"/>
      <c r="W1407" s="46"/>
      <c r="X1407" s="46"/>
      <c r="Y1407" s="46"/>
      <c r="Z1407" s="46"/>
      <c r="AA1407" s="46"/>
      <c r="AB1407" s="46"/>
      <c r="AC1407" s="46"/>
      <c r="AD1407" s="46"/>
      <c r="AE1407" s="46"/>
      <c r="AF1407" s="46"/>
      <c r="AG1407" s="46"/>
      <c r="AH1407" s="46"/>
      <c r="AI1407" s="46"/>
      <c r="AJ1407" s="46"/>
      <c r="AK1407" s="46"/>
      <c r="AL1407" s="46"/>
      <c r="AM1407" s="46"/>
      <c r="AN1407" s="46"/>
      <c r="AO1407" s="46"/>
      <c r="AP1407" s="46"/>
      <c r="AQ1407" s="46"/>
      <c r="AR1407" s="46"/>
      <c r="AS1407" s="46"/>
      <c r="AT1407" s="46"/>
      <c r="AU1407" s="46"/>
      <c r="AV1407" s="46"/>
      <c r="BA1407" s="49"/>
      <c r="BB1407" s="42"/>
      <c r="BC1407" s="42"/>
      <c r="BD1407" s="42"/>
      <c r="BE1407" s="42"/>
    </row>
    <row r="1408" spans="1:48" s="27" customFormat="1" ht="18.75" customHeight="1">
      <c r="A1408" s="12"/>
      <c r="B1408" s="97" t="s">
        <v>566</v>
      </c>
      <c r="C1408" s="15" t="s">
        <v>567</v>
      </c>
      <c r="D1408" s="40"/>
      <c r="E1408" s="40"/>
      <c r="F1408" s="40"/>
      <c r="G1408" s="40"/>
      <c r="H1408" s="40"/>
      <c r="I1408" s="40"/>
      <c r="J1408" s="40"/>
      <c r="K1408" s="40"/>
      <c r="L1408" s="40" t="s">
        <v>556</v>
      </c>
      <c r="M1408" s="40">
        <v>1</v>
      </c>
      <c r="N1408" s="40" t="s">
        <v>556</v>
      </c>
      <c r="O1408" s="40" t="s">
        <v>556</v>
      </c>
      <c r="P1408" s="40" t="s">
        <v>556</v>
      </c>
      <c r="Q1408" s="30"/>
      <c r="R1408" s="30"/>
      <c r="S1408" s="30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</row>
    <row r="1409" spans="1:57" s="43" customFormat="1" ht="18" customHeight="1">
      <c r="A1409" s="63"/>
      <c r="B1409" s="97" t="s">
        <v>561</v>
      </c>
      <c r="C1409" s="66" t="s">
        <v>804</v>
      </c>
      <c r="D1409" s="40"/>
      <c r="E1409" s="51"/>
      <c r="F1409" s="40"/>
      <c r="G1409" s="40"/>
      <c r="H1409" s="40"/>
      <c r="I1409" s="40"/>
      <c r="J1409" s="40"/>
      <c r="K1409" s="40"/>
      <c r="L1409" s="40" t="s">
        <v>556</v>
      </c>
      <c r="M1409" s="40">
        <v>1</v>
      </c>
      <c r="N1409" s="40" t="s">
        <v>556</v>
      </c>
      <c r="O1409" s="40" t="s">
        <v>556</v>
      </c>
      <c r="P1409" s="40" t="s">
        <v>556</v>
      </c>
      <c r="Q1409" s="70"/>
      <c r="R1409" s="41"/>
      <c r="S1409" s="41"/>
      <c r="T1409" s="46"/>
      <c r="U1409" s="46"/>
      <c r="V1409" s="46"/>
      <c r="W1409" s="46"/>
      <c r="X1409" s="46"/>
      <c r="Y1409" s="46"/>
      <c r="Z1409" s="46"/>
      <c r="AA1409" s="46"/>
      <c r="AB1409" s="46"/>
      <c r="AC1409" s="46"/>
      <c r="AD1409" s="46"/>
      <c r="AE1409" s="46"/>
      <c r="AF1409" s="46"/>
      <c r="AG1409" s="46"/>
      <c r="AH1409" s="46"/>
      <c r="AI1409" s="46"/>
      <c r="AJ1409" s="46"/>
      <c r="AK1409" s="46"/>
      <c r="AL1409" s="46"/>
      <c r="AM1409" s="46"/>
      <c r="AN1409" s="46"/>
      <c r="AO1409" s="46"/>
      <c r="AP1409" s="46"/>
      <c r="AQ1409" s="46"/>
      <c r="AR1409" s="46"/>
      <c r="AS1409" s="46"/>
      <c r="AT1409" s="46"/>
      <c r="AU1409" s="46"/>
      <c r="AV1409" s="46"/>
      <c r="BA1409" s="49"/>
      <c r="BB1409" s="42"/>
      <c r="BC1409" s="42"/>
      <c r="BD1409" s="42"/>
      <c r="BE1409" s="42"/>
    </row>
    <row r="1410" spans="1:188" s="57" customFormat="1" ht="17.25" customHeight="1">
      <c r="A1410" s="13">
        <v>77</v>
      </c>
      <c r="B1410" s="92" t="s">
        <v>364</v>
      </c>
      <c r="C1410" s="45"/>
      <c r="D1410" s="44">
        <v>87</v>
      </c>
      <c r="E1410" s="44">
        <v>15</v>
      </c>
      <c r="F1410" s="44"/>
      <c r="G1410" s="44">
        <v>87</v>
      </c>
      <c r="H1410" s="44">
        <v>87</v>
      </c>
      <c r="I1410" s="44">
        <v>87</v>
      </c>
      <c r="J1410" s="44">
        <v>87</v>
      </c>
      <c r="K1410" s="44">
        <v>87</v>
      </c>
      <c r="L1410" s="44">
        <v>2</v>
      </c>
      <c r="M1410" s="44" t="str">
        <f>M1413</f>
        <v> -</v>
      </c>
      <c r="N1410" s="44" t="s">
        <v>556</v>
      </c>
      <c r="O1410" s="44" t="str">
        <f>O1413</f>
        <v> -</v>
      </c>
      <c r="P1410" s="44" t="str">
        <f>P1413</f>
        <v> -</v>
      </c>
      <c r="Q1410" s="54" t="s">
        <v>649</v>
      </c>
      <c r="R1410" s="54">
        <v>7</v>
      </c>
      <c r="S1410" s="55" t="s">
        <v>590</v>
      </c>
      <c r="T1410" s="56"/>
      <c r="U1410" s="56"/>
      <c r="V1410" s="56"/>
      <c r="W1410" s="56"/>
      <c r="X1410" s="56"/>
      <c r="Y1410" s="56"/>
      <c r="Z1410" s="56"/>
      <c r="AA1410" s="56"/>
      <c r="AB1410" s="56"/>
      <c r="AC1410" s="56"/>
      <c r="AD1410" s="56"/>
      <c r="AE1410" s="56"/>
      <c r="AF1410" s="56"/>
      <c r="AG1410" s="56"/>
      <c r="AH1410" s="56"/>
      <c r="AI1410" s="56"/>
      <c r="AJ1410" s="56"/>
      <c r="AK1410" s="56"/>
      <c r="AL1410" s="56"/>
      <c r="AM1410" s="56"/>
      <c r="AN1410" s="56"/>
      <c r="AO1410" s="56"/>
      <c r="AP1410" s="56"/>
      <c r="AQ1410" s="56"/>
      <c r="AR1410" s="56"/>
      <c r="AS1410" s="56"/>
      <c r="AT1410" s="56"/>
      <c r="AU1410" s="56"/>
      <c r="AV1410" s="56"/>
      <c r="AW1410" s="56"/>
      <c r="AX1410" s="56"/>
      <c r="AY1410" s="56"/>
      <c r="AZ1410" s="56"/>
      <c r="BA1410" s="56"/>
      <c r="BB1410" s="56"/>
      <c r="BC1410" s="56"/>
      <c r="BD1410" s="56"/>
      <c r="BE1410" s="56"/>
      <c r="BF1410" s="56"/>
      <c r="BG1410" s="56"/>
      <c r="BH1410" s="56"/>
      <c r="BI1410" s="56"/>
      <c r="BJ1410" s="56"/>
      <c r="BK1410" s="56"/>
      <c r="BL1410" s="56"/>
      <c r="BM1410" s="56"/>
      <c r="BN1410" s="56"/>
      <c r="BO1410" s="56"/>
      <c r="BP1410" s="56"/>
      <c r="BQ1410" s="56"/>
      <c r="BR1410" s="56"/>
      <c r="BS1410" s="56"/>
      <c r="BT1410" s="56"/>
      <c r="BU1410" s="56"/>
      <c r="BV1410" s="56"/>
      <c r="BW1410" s="56"/>
      <c r="BX1410" s="56"/>
      <c r="BY1410" s="56"/>
      <c r="BZ1410" s="56"/>
      <c r="CA1410" s="56"/>
      <c r="CB1410" s="56"/>
      <c r="CC1410" s="56"/>
      <c r="CD1410" s="56"/>
      <c r="CE1410" s="56"/>
      <c r="CF1410" s="56"/>
      <c r="CG1410" s="56"/>
      <c r="CH1410" s="56"/>
      <c r="CI1410" s="56"/>
      <c r="CJ1410" s="56"/>
      <c r="CK1410" s="56"/>
      <c r="CL1410" s="56"/>
      <c r="CM1410" s="56"/>
      <c r="CN1410" s="56"/>
      <c r="CO1410" s="56"/>
      <c r="CP1410" s="56"/>
      <c r="CQ1410" s="56"/>
      <c r="CR1410" s="56"/>
      <c r="CS1410" s="56"/>
      <c r="CT1410" s="56"/>
      <c r="CU1410" s="56"/>
      <c r="CV1410" s="56"/>
      <c r="CW1410" s="56"/>
      <c r="CX1410" s="56"/>
      <c r="CY1410" s="56"/>
      <c r="CZ1410" s="56"/>
      <c r="DA1410" s="56"/>
      <c r="DB1410" s="56"/>
      <c r="DC1410" s="56"/>
      <c r="DD1410" s="56"/>
      <c r="DE1410" s="56"/>
      <c r="DF1410" s="56"/>
      <c r="DG1410" s="56"/>
      <c r="DH1410" s="56"/>
      <c r="DI1410" s="56"/>
      <c r="DJ1410" s="56"/>
      <c r="DK1410" s="56"/>
      <c r="DL1410" s="56"/>
      <c r="DM1410" s="56"/>
      <c r="DN1410" s="56"/>
      <c r="DO1410" s="56"/>
      <c r="DP1410" s="56"/>
      <c r="DQ1410" s="56"/>
      <c r="DR1410" s="56"/>
      <c r="DS1410" s="56"/>
      <c r="DT1410" s="56"/>
      <c r="DU1410" s="56"/>
      <c r="DV1410" s="56"/>
      <c r="DW1410" s="56"/>
      <c r="DX1410" s="56"/>
      <c r="DY1410" s="56"/>
      <c r="DZ1410" s="56"/>
      <c r="EA1410" s="56"/>
      <c r="EB1410" s="56"/>
      <c r="EC1410" s="56"/>
      <c r="ED1410" s="56"/>
      <c r="EE1410" s="56"/>
      <c r="EF1410" s="56"/>
      <c r="EG1410" s="56"/>
      <c r="EH1410" s="56"/>
      <c r="EI1410" s="56"/>
      <c r="EJ1410" s="56"/>
      <c r="EK1410" s="56"/>
      <c r="EL1410" s="56"/>
      <c r="EM1410" s="56"/>
      <c r="EN1410" s="56"/>
      <c r="EO1410" s="56"/>
      <c r="EP1410" s="56"/>
      <c r="EQ1410" s="56"/>
      <c r="ER1410" s="56"/>
      <c r="ES1410" s="56"/>
      <c r="ET1410" s="56"/>
      <c r="EU1410" s="56"/>
      <c r="EV1410" s="56"/>
      <c r="EW1410" s="56"/>
      <c r="EX1410" s="56"/>
      <c r="EY1410" s="56"/>
      <c r="EZ1410" s="56"/>
      <c r="FA1410" s="56"/>
      <c r="FB1410" s="56"/>
      <c r="FC1410" s="56"/>
      <c r="FD1410" s="56"/>
      <c r="FE1410" s="56"/>
      <c r="FF1410" s="56"/>
      <c r="FG1410" s="56"/>
      <c r="FH1410" s="56"/>
      <c r="FI1410" s="56"/>
      <c r="FJ1410" s="56"/>
      <c r="FK1410" s="56"/>
      <c r="FL1410" s="56"/>
      <c r="FM1410" s="56"/>
      <c r="FN1410" s="56"/>
      <c r="FO1410" s="56"/>
      <c r="FP1410" s="56"/>
      <c r="FQ1410" s="56"/>
      <c r="FR1410" s="56"/>
      <c r="FS1410" s="56"/>
      <c r="FT1410" s="56"/>
      <c r="FU1410" s="56"/>
      <c r="FV1410" s="56"/>
      <c r="FW1410" s="56"/>
      <c r="FX1410" s="56"/>
      <c r="FY1410" s="56"/>
      <c r="FZ1410" s="56"/>
      <c r="GA1410" s="56"/>
      <c r="GB1410" s="56"/>
      <c r="GC1410" s="56"/>
      <c r="GD1410" s="56"/>
      <c r="GE1410" s="56"/>
      <c r="GF1410" s="56"/>
    </row>
    <row r="1411" spans="1:48" s="18" customFormat="1" ht="17.25" customHeight="1">
      <c r="A1411" s="50"/>
      <c r="B1411" s="93" t="s">
        <v>669</v>
      </c>
      <c r="C1411" s="16"/>
      <c r="D1411" s="52"/>
      <c r="E1411" s="52"/>
      <c r="F1411" s="52"/>
      <c r="G1411" s="52"/>
      <c r="H1411" s="52"/>
      <c r="I1411" s="52"/>
      <c r="J1411" s="52"/>
      <c r="K1411" s="52"/>
      <c r="L1411" s="60">
        <f>L1412</f>
        <v>1</v>
      </c>
      <c r="M1411" s="60" t="str">
        <f>M1412</f>
        <v> -</v>
      </c>
      <c r="N1411" s="60" t="str">
        <f>N1412</f>
        <v> -</v>
      </c>
      <c r="O1411" s="60" t="str">
        <f>O1412</f>
        <v> -</v>
      </c>
      <c r="P1411" s="60" t="str">
        <f>P1412</f>
        <v> -</v>
      </c>
      <c r="Q1411" s="23"/>
      <c r="R1411" s="23"/>
      <c r="S1411" s="17"/>
      <c r="T1411" s="47"/>
      <c r="U1411" s="47"/>
      <c r="V1411" s="47"/>
      <c r="W1411" s="47"/>
      <c r="X1411" s="47"/>
      <c r="Y1411" s="47"/>
      <c r="Z1411" s="47"/>
      <c r="AA1411" s="47"/>
      <c r="AB1411" s="47"/>
      <c r="AC1411" s="47"/>
      <c r="AD1411" s="47"/>
      <c r="AE1411" s="47"/>
      <c r="AF1411" s="47"/>
      <c r="AG1411" s="47"/>
      <c r="AH1411" s="47"/>
      <c r="AI1411" s="47"/>
      <c r="AJ1411" s="47"/>
      <c r="AK1411" s="47"/>
      <c r="AL1411" s="47"/>
      <c r="AM1411" s="47"/>
      <c r="AN1411" s="47"/>
      <c r="AO1411" s="47"/>
      <c r="AP1411" s="47"/>
      <c r="AQ1411" s="47"/>
      <c r="AR1411" s="47"/>
      <c r="AS1411" s="47"/>
      <c r="AT1411" s="47"/>
      <c r="AU1411" s="47"/>
      <c r="AV1411" s="47"/>
    </row>
    <row r="1412" spans="1:48" s="27" customFormat="1" ht="17.25" customHeight="1">
      <c r="A1412" s="12"/>
      <c r="B1412" s="97" t="s">
        <v>460</v>
      </c>
      <c r="C1412" s="29" t="s">
        <v>544</v>
      </c>
      <c r="D1412" s="40"/>
      <c r="E1412" s="40"/>
      <c r="F1412" s="40"/>
      <c r="G1412" s="40">
        <v>2</v>
      </c>
      <c r="H1412" s="40">
        <v>2</v>
      </c>
      <c r="I1412" s="40">
        <v>2</v>
      </c>
      <c r="J1412" s="40">
        <v>2</v>
      </c>
      <c r="K1412" s="40">
        <v>2</v>
      </c>
      <c r="L1412" s="40">
        <v>1</v>
      </c>
      <c r="M1412" s="40" t="s">
        <v>556</v>
      </c>
      <c r="N1412" s="40" t="s">
        <v>556</v>
      </c>
      <c r="O1412" s="40" t="s">
        <v>556</v>
      </c>
      <c r="P1412" s="40" t="s">
        <v>556</v>
      </c>
      <c r="Q1412" s="102"/>
      <c r="R1412" s="102"/>
      <c r="S1412" s="102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</row>
    <row r="1413" spans="1:48" s="18" customFormat="1" ht="17.25" customHeight="1">
      <c r="A1413" s="50"/>
      <c r="B1413" s="104" t="s">
        <v>670</v>
      </c>
      <c r="C1413" s="16"/>
      <c r="D1413" s="52"/>
      <c r="E1413" s="52"/>
      <c r="F1413" s="52"/>
      <c r="G1413" s="52"/>
      <c r="H1413" s="52"/>
      <c r="I1413" s="52"/>
      <c r="J1413" s="52"/>
      <c r="K1413" s="52"/>
      <c r="L1413" s="60">
        <f>SUM(L1414:L1414)</f>
        <v>1</v>
      </c>
      <c r="M1413" s="60" t="s">
        <v>556</v>
      </c>
      <c r="N1413" s="60" t="s">
        <v>556</v>
      </c>
      <c r="O1413" s="60" t="s">
        <v>556</v>
      </c>
      <c r="P1413" s="60" t="s">
        <v>556</v>
      </c>
      <c r="Q1413" s="23"/>
      <c r="R1413" s="23"/>
      <c r="S1413" s="17"/>
      <c r="T1413" s="47"/>
      <c r="U1413" s="47"/>
      <c r="V1413" s="47"/>
      <c r="W1413" s="47"/>
      <c r="X1413" s="47"/>
      <c r="Y1413" s="47"/>
      <c r="Z1413" s="47"/>
      <c r="AA1413" s="47"/>
      <c r="AB1413" s="47"/>
      <c r="AC1413" s="47"/>
      <c r="AD1413" s="47"/>
      <c r="AE1413" s="47"/>
      <c r="AF1413" s="47"/>
      <c r="AG1413" s="47"/>
      <c r="AH1413" s="47"/>
      <c r="AI1413" s="47"/>
      <c r="AJ1413" s="47"/>
      <c r="AK1413" s="47"/>
      <c r="AL1413" s="47"/>
      <c r="AM1413" s="47"/>
      <c r="AN1413" s="47"/>
      <c r="AO1413" s="47"/>
      <c r="AP1413" s="47"/>
      <c r="AQ1413" s="47"/>
      <c r="AR1413" s="47"/>
      <c r="AS1413" s="47"/>
      <c r="AT1413" s="47"/>
      <c r="AU1413" s="47"/>
      <c r="AV1413" s="47"/>
    </row>
    <row r="1414" spans="1:48" s="27" customFormat="1" ht="17.25" customHeight="1">
      <c r="A1414" s="12"/>
      <c r="B1414" s="97" t="s">
        <v>6</v>
      </c>
      <c r="C1414" s="15" t="s">
        <v>7</v>
      </c>
      <c r="D1414" s="40"/>
      <c r="E1414" s="40"/>
      <c r="F1414" s="40"/>
      <c r="G1414" s="40">
        <v>1</v>
      </c>
      <c r="H1414" s="40">
        <v>1</v>
      </c>
      <c r="I1414" s="40">
        <v>1</v>
      </c>
      <c r="J1414" s="40">
        <v>1</v>
      </c>
      <c r="K1414" s="40">
        <v>1</v>
      </c>
      <c r="L1414" s="40">
        <v>1</v>
      </c>
      <c r="M1414" s="40" t="s">
        <v>556</v>
      </c>
      <c r="N1414" s="40" t="s">
        <v>556</v>
      </c>
      <c r="O1414" s="40" t="s">
        <v>556</v>
      </c>
      <c r="P1414" s="40" t="s">
        <v>556</v>
      </c>
      <c r="Q1414" s="102" t="s">
        <v>556</v>
      </c>
      <c r="R1414" s="101" t="s">
        <v>556</v>
      </c>
      <c r="S1414" s="101" t="s">
        <v>556</v>
      </c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</row>
    <row r="1415" spans="1:188" s="57" customFormat="1" ht="17.25" customHeight="1">
      <c r="A1415" s="13">
        <v>78</v>
      </c>
      <c r="B1415" s="92" t="s">
        <v>5</v>
      </c>
      <c r="C1415" s="45"/>
      <c r="D1415" s="44">
        <v>98</v>
      </c>
      <c r="E1415" s="44">
        <v>8</v>
      </c>
      <c r="F1415" s="44"/>
      <c r="G1415" s="44">
        <v>98</v>
      </c>
      <c r="H1415" s="44">
        <v>98</v>
      </c>
      <c r="I1415" s="44">
        <v>98</v>
      </c>
      <c r="J1415" s="44">
        <v>98</v>
      </c>
      <c r="K1415" s="44">
        <v>98</v>
      </c>
      <c r="L1415" s="44">
        <v>2</v>
      </c>
      <c r="M1415" s="44">
        <v>3</v>
      </c>
      <c r="N1415" s="44">
        <v>2</v>
      </c>
      <c r="O1415" s="44" t="str">
        <f>O1416</f>
        <v> -</v>
      </c>
      <c r="P1415" s="44" t="s">
        <v>556</v>
      </c>
      <c r="Q1415" s="54" t="s">
        <v>649</v>
      </c>
      <c r="R1415" s="54">
        <v>7</v>
      </c>
      <c r="S1415" s="55" t="s">
        <v>590</v>
      </c>
      <c r="T1415" s="56"/>
      <c r="U1415" s="56"/>
      <c r="V1415" s="56"/>
      <c r="W1415" s="56"/>
      <c r="X1415" s="56"/>
      <c r="Y1415" s="56"/>
      <c r="Z1415" s="56"/>
      <c r="AA1415" s="56"/>
      <c r="AB1415" s="56"/>
      <c r="AC1415" s="56"/>
      <c r="AD1415" s="56"/>
      <c r="AE1415" s="56"/>
      <c r="AF1415" s="56"/>
      <c r="AG1415" s="56"/>
      <c r="AH1415" s="56"/>
      <c r="AI1415" s="56"/>
      <c r="AJ1415" s="56"/>
      <c r="AK1415" s="56"/>
      <c r="AL1415" s="56"/>
      <c r="AM1415" s="56"/>
      <c r="AN1415" s="56"/>
      <c r="AO1415" s="56"/>
      <c r="AP1415" s="56"/>
      <c r="AQ1415" s="56"/>
      <c r="AR1415" s="56"/>
      <c r="AS1415" s="56"/>
      <c r="AT1415" s="56"/>
      <c r="AU1415" s="56"/>
      <c r="AV1415" s="56"/>
      <c r="AW1415" s="56"/>
      <c r="AX1415" s="56"/>
      <c r="AY1415" s="56"/>
      <c r="AZ1415" s="56"/>
      <c r="BA1415" s="56"/>
      <c r="BB1415" s="56"/>
      <c r="BC1415" s="56"/>
      <c r="BD1415" s="56"/>
      <c r="BE1415" s="56"/>
      <c r="BF1415" s="56"/>
      <c r="BG1415" s="56"/>
      <c r="BH1415" s="56"/>
      <c r="BI1415" s="56"/>
      <c r="BJ1415" s="56"/>
      <c r="BK1415" s="56"/>
      <c r="BL1415" s="56"/>
      <c r="BM1415" s="56"/>
      <c r="BN1415" s="56"/>
      <c r="BO1415" s="56"/>
      <c r="BP1415" s="56"/>
      <c r="BQ1415" s="56"/>
      <c r="BR1415" s="56"/>
      <c r="BS1415" s="56"/>
      <c r="BT1415" s="56"/>
      <c r="BU1415" s="56"/>
      <c r="BV1415" s="56"/>
      <c r="BW1415" s="56"/>
      <c r="BX1415" s="56"/>
      <c r="BY1415" s="56"/>
      <c r="BZ1415" s="56"/>
      <c r="CA1415" s="56"/>
      <c r="CB1415" s="56"/>
      <c r="CC1415" s="56"/>
      <c r="CD1415" s="56"/>
      <c r="CE1415" s="56"/>
      <c r="CF1415" s="56"/>
      <c r="CG1415" s="56"/>
      <c r="CH1415" s="56"/>
      <c r="CI1415" s="56"/>
      <c r="CJ1415" s="56"/>
      <c r="CK1415" s="56"/>
      <c r="CL1415" s="56"/>
      <c r="CM1415" s="56"/>
      <c r="CN1415" s="56"/>
      <c r="CO1415" s="56"/>
      <c r="CP1415" s="56"/>
      <c r="CQ1415" s="56"/>
      <c r="CR1415" s="56"/>
      <c r="CS1415" s="56"/>
      <c r="CT1415" s="56"/>
      <c r="CU1415" s="56"/>
      <c r="CV1415" s="56"/>
      <c r="CW1415" s="56"/>
      <c r="CX1415" s="56"/>
      <c r="CY1415" s="56"/>
      <c r="CZ1415" s="56"/>
      <c r="DA1415" s="56"/>
      <c r="DB1415" s="56"/>
      <c r="DC1415" s="56"/>
      <c r="DD1415" s="56"/>
      <c r="DE1415" s="56"/>
      <c r="DF1415" s="56"/>
      <c r="DG1415" s="56"/>
      <c r="DH1415" s="56"/>
      <c r="DI1415" s="56"/>
      <c r="DJ1415" s="56"/>
      <c r="DK1415" s="56"/>
      <c r="DL1415" s="56"/>
      <c r="DM1415" s="56"/>
      <c r="DN1415" s="56"/>
      <c r="DO1415" s="56"/>
      <c r="DP1415" s="56"/>
      <c r="DQ1415" s="56"/>
      <c r="DR1415" s="56"/>
      <c r="DS1415" s="56"/>
      <c r="DT1415" s="56"/>
      <c r="DU1415" s="56"/>
      <c r="DV1415" s="56"/>
      <c r="DW1415" s="56"/>
      <c r="DX1415" s="56"/>
      <c r="DY1415" s="56"/>
      <c r="DZ1415" s="56"/>
      <c r="EA1415" s="56"/>
      <c r="EB1415" s="56"/>
      <c r="EC1415" s="56"/>
      <c r="ED1415" s="56"/>
      <c r="EE1415" s="56"/>
      <c r="EF1415" s="56"/>
      <c r="EG1415" s="56"/>
      <c r="EH1415" s="56"/>
      <c r="EI1415" s="56"/>
      <c r="EJ1415" s="56"/>
      <c r="EK1415" s="56"/>
      <c r="EL1415" s="56"/>
      <c r="EM1415" s="56"/>
      <c r="EN1415" s="56"/>
      <c r="EO1415" s="56"/>
      <c r="EP1415" s="56"/>
      <c r="EQ1415" s="56"/>
      <c r="ER1415" s="56"/>
      <c r="ES1415" s="56"/>
      <c r="ET1415" s="56"/>
      <c r="EU1415" s="56"/>
      <c r="EV1415" s="56"/>
      <c r="EW1415" s="56"/>
      <c r="EX1415" s="56"/>
      <c r="EY1415" s="56"/>
      <c r="EZ1415" s="56"/>
      <c r="FA1415" s="56"/>
      <c r="FB1415" s="56"/>
      <c r="FC1415" s="56"/>
      <c r="FD1415" s="56"/>
      <c r="FE1415" s="56"/>
      <c r="FF1415" s="56"/>
      <c r="FG1415" s="56"/>
      <c r="FH1415" s="56"/>
      <c r="FI1415" s="56"/>
      <c r="FJ1415" s="56"/>
      <c r="FK1415" s="56"/>
      <c r="FL1415" s="56"/>
      <c r="FM1415" s="56"/>
      <c r="FN1415" s="56"/>
      <c r="FO1415" s="56"/>
      <c r="FP1415" s="56"/>
      <c r="FQ1415" s="56"/>
      <c r="FR1415" s="56"/>
      <c r="FS1415" s="56"/>
      <c r="FT1415" s="56"/>
      <c r="FU1415" s="56"/>
      <c r="FV1415" s="56"/>
      <c r="FW1415" s="56"/>
      <c r="FX1415" s="56"/>
      <c r="FY1415" s="56"/>
      <c r="FZ1415" s="56"/>
      <c r="GA1415" s="56"/>
      <c r="GB1415" s="56"/>
      <c r="GC1415" s="56"/>
      <c r="GD1415" s="56"/>
      <c r="GE1415" s="56"/>
      <c r="GF1415" s="56"/>
    </row>
    <row r="1416" spans="1:48" s="18" customFormat="1" ht="17.25" customHeight="1">
      <c r="A1416" s="50"/>
      <c r="B1416" s="93" t="s">
        <v>669</v>
      </c>
      <c r="C1416" s="16"/>
      <c r="D1416" s="52"/>
      <c r="E1416" s="52"/>
      <c r="F1416" s="52"/>
      <c r="G1416" s="52"/>
      <c r="H1416" s="52"/>
      <c r="I1416" s="52"/>
      <c r="J1416" s="52"/>
      <c r="K1416" s="52"/>
      <c r="L1416" s="60">
        <v>2</v>
      </c>
      <c r="M1416" s="60">
        <v>3</v>
      </c>
      <c r="N1416" s="60">
        <v>1</v>
      </c>
      <c r="O1416" s="60" t="s">
        <v>556</v>
      </c>
      <c r="P1416" s="60" t="s">
        <v>556</v>
      </c>
      <c r="Q1416" s="23"/>
      <c r="R1416" s="23"/>
      <c r="S1416" s="17"/>
      <c r="T1416" s="47"/>
      <c r="U1416" s="47"/>
      <c r="V1416" s="47"/>
      <c r="W1416" s="47"/>
      <c r="X1416" s="47"/>
      <c r="Y1416" s="47"/>
      <c r="Z1416" s="47"/>
      <c r="AA1416" s="47"/>
      <c r="AB1416" s="47"/>
      <c r="AC1416" s="47"/>
      <c r="AD1416" s="47"/>
      <c r="AE1416" s="47"/>
      <c r="AF1416" s="47"/>
      <c r="AG1416" s="47"/>
      <c r="AH1416" s="47"/>
      <c r="AI1416" s="47"/>
      <c r="AJ1416" s="47"/>
      <c r="AK1416" s="47"/>
      <c r="AL1416" s="47"/>
      <c r="AM1416" s="47"/>
      <c r="AN1416" s="47"/>
      <c r="AO1416" s="47"/>
      <c r="AP1416" s="47"/>
      <c r="AQ1416" s="47"/>
      <c r="AR1416" s="47"/>
      <c r="AS1416" s="47"/>
      <c r="AT1416" s="47"/>
      <c r="AU1416" s="47"/>
      <c r="AV1416" s="47"/>
    </row>
    <row r="1417" spans="1:48" s="27" customFormat="1" ht="17.25" customHeight="1">
      <c r="A1417" s="12"/>
      <c r="B1417" s="97" t="s">
        <v>797</v>
      </c>
      <c r="C1417" s="29" t="s">
        <v>798</v>
      </c>
      <c r="D1417" s="40"/>
      <c r="E1417" s="40"/>
      <c r="F1417" s="40"/>
      <c r="G1417" s="40">
        <v>7</v>
      </c>
      <c r="H1417" s="40">
        <v>7</v>
      </c>
      <c r="I1417" s="40">
        <v>7</v>
      </c>
      <c r="J1417" s="40">
        <v>7</v>
      </c>
      <c r="K1417" s="40">
        <v>7</v>
      </c>
      <c r="L1417" s="40">
        <v>2</v>
      </c>
      <c r="M1417" s="40">
        <v>2</v>
      </c>
      <c r="N1417" s="40" t="s">
        <v>556</v>
      </c>
      <c r="O1417" s="40" t="s">
        <v>556</v>
      </c>
      <c r="P1417" s="40" t="s">
        <v>556</v>
      </c>
      <c r="Q1417" s="102"/>
      <c r="R1417" s="102"/>
      <c r="S1417" s="102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</row>
    <row r="1418" spans="1:48" s="27" customFormat="1" ht="17.25" customHeight="1">
      <c r="A1418" s="12"/>
      <c r="B1418" s="97" t="s">
        <v>460</v>
      </c>
      <c r="C1418" s="29" t="s">
        <v>544</v>
      </c>
      <c r="D1418" s="40"/>
      <c r="E1418" s="40"/>
      <c r="F1418" s="40"/>
      <c r="G1418" s="40">
        <v>21</v>
      </c>
      <c r="H1418" s="40">
        <v>21</v>
      </c>
      <c r="I1418" s="40">
        <v>21</v>
      </c>
      <c r="J1418" s="40">
        <v>21</v>
      </c>
      <c r="K1418" s="40">
        <v>21</v>
      </c>
      <c r="L1418" s="40" t="s">
        <v>556</v>
      </c>
      <c r="M1418" s="40">
        <v>1</v>
      </c>
      <c r="N1418" s="40">
        <v>1</v>
      </c>
      <c r="O1418" s="40" t="s">
        <v>556</v>
      </c>
      <c r="P1418" s="40" t="s">
        <v>556</v>
      </c>
      <c r="Q1418" s="102"/>
      <c r="R1418" s="102"/>
      <c r="S1418" s="102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</row>
    <row r="1419" spans="1:19" s="47" customFormat="1" ht="17.25" customHeight="1">
      <c r="A1419" s="50"/>
      <c r="B1419" s="93" t="s">
        <v>37</v>
      </c>
      <c r="C1419" s="94"/>
      <c r="D1419" s="60"/>
      <c r="E1419" s="60"/>
      <c r="F1419" s="60"/>
      <c r="G1419" s="60"/>
      <c r="H1419" s="60"/>
      <c r="I1419" s="60"/>
      <c r="J1419" s="60"/>
      <c r="K1419" s="60"/>
      <c r="L1419" s="60" t="str">
        <f>L1420</f>
        <v> -</v>
      </c>
      <c r="M1419" s="60" t="str">
        <f>M1420</f>
        <v> -</v>
      </c>
      <c r="N1419" s="60">
        <v>1</v>
      </c>
      <c r="O1419" s="60" t="str">
        <f>O1420</f>
        <v> -</v>
      </c>
      <c r="P1419" s="60" t="str">
        <f>P1420</f>
        <v> -</v>
      </c>
      <c r="Q1419" s="95"/>
      <c r="R1419" s="95"/>
      <c r="S1419" s="96"/>
    </row>
    <row r="1420" spans="1:187" s="5" customFormat="1" ht="17.25" customHeight="1">
      <c r="A1420" s="12"/>
      <c r="B1420" s="97" t="s">
        <v>6</v>
      </c>
      <c r="C1420" s="66" t="s">
        <v>7</v>
      </c>
      <c r="D1420" s="40"/>
      <c r="E1420" s="40"/>
      <c r="F1420" s="40"/>
      <c r="G1420" s="40">
        <v>2</v>
      </c>
      <c r="H1420" s="40">
        <v>2</v>
      </c>
      <c r="I1420" s="40">
        <v>2</v>
      </c>
      <c r="J1420" s="40">
        <v>2</v>
      </c>
      <c r="K1420" s="40">
        <v>2</v>
      </c>
      <c r="L1420" s="40" t="s">
        <v>556</v>
      </c>
      <c r="M1420" s="40" t="s">
        <v>556</v>
      </c>
      <c r="N1420" s="40">
        <v>1</v>
      </c>
      <c r="O1420" s="40" t="s">
        <v>556</v>
      </c>
      <c r="P1420" s="40" t="s">
        <v>556</v>
      </c>
      <c r="Q1420" s="22"/>
      <c r="R1420" s="22"/>
      <c r="S1420" s="31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  <c r="BK1420" s="4"/>
      <c r="BL1420" s="4"/>
      <c r="BM1420" s="4"/>
      <c r="BN1420" s="4"/>
      <c r="BO1420" s="4"/>
      <c r="BP1420" s="4"/>
      <c r="BQ1420" s="4"/>
      <c r="BR1420" s="4"/>
      <c r="BS1420" s="4"/>
      <c r="BT1420" s="4"/>
      <c r="BU1420" s="4"/>
      <c r="BV1420" s="4"/>
      <c r="BW1420" s="4"/>
      <c r="BX1420" s="4"/>
      <c r="BY1420" s="4"/>
      <c r="BZ1420" s="4"/>
      <c r="CA1420" s="4"/>
      <c r="CB1420" s="4"/>
      <c r="CC1420" s="4"/>
      <c r="CD1420" s="4"/>
      <c r="CE1420" s="4"/>
      <c r="CF1420" s="4"/>
      <c r="CG1420" s="4"/>
      <c r="CH1420" s="4"/>
      <c r="CI1420" s="4"/>
      <c r="CJ1420" s="4"/>
      <c r="CK1420" s="4"/>
      <c r="CL1420" s="4"/>
      <c r="CM1420" s="4"/>
      <c r="CN1420" s="4"/>
      <c r="CO1420" s="4"/>
      <c r="CP1420" s="4"/>
      <c r="CQ1420" s="4"/>
      <c r="CR1420" s="4"/>
      <c r="CS1420" s="4"/>
      <c r="CT1420" s="4"/>
      <c r="CU1420" s="4"/>
      <c r="CV1420" s="4"/>
      <c r="CW1420" s="4"/>
      <c r="CX1420" s="4"/>
      <c r="CY1420" s="4"/>
      <c r="CZ1420" s="4"/>
      <c r="DA1420" s="4"/>
      <c r="DB1420" s="4"/>
      <c r="DC1420" s="4"/>
      <c r="DD1420" s="4"/>
      <c r="DE1420" s="4"/>
      <c r="DF1420" s="4"/>
      <c r="DG1420" s="4"/>
      <c r="DH1420" s="4"/>
      <c r="DI1420" s="4"/>
      <c r="DJ1420" s="4"/>
      <c r="DK1420" s="4"/>
      <c r="DL1420" s="4"/>
      <c r="DM1420" s="4"/>
      <c r="DN1420" s="4"/>
      <c r="DO1420" s="4"/>
      <c r="DP1420" s="4"/>
      <c r="DQ1420" s="4"/>
      <c r="DR1420" s="4"/>
      <c r="DS1420" s="4"/>
      <c r="DT1420" s="4"/>
      <c r="DU1420" s="4"/>
      <c r="DV1420" s="4"/>
      <c r="DW1420" s="4"/>
      <c r="DX1420" s="4"/>
      <c r="DY1420" s="4"/>
      <c r="DZ1420" s="4"/>
      <c r="EA1420" s="4"/>
      <c r="EB1420" s="4"/>
      <c r="EC1420" s="4"/>
      <c r="ED1420" s="4"/>
      <c r="EE1420" s="4"/>
      <c r="EF1420" s="4"/>
      <c r="EG1420" s="4"/>
      <c r="EH1420" s="4"/>
      <c r="EI1420" s="4"/>
      <c r="EJ1420" s="4"/>
      <c r="EK1420" s="4"/>
      <c r="EL1420" s="4"/>
      <c r="EM1420" s="4"/>
      <c r="EN1420" s="4"/>
      <c r="EO1420" s="4"/>
      <c r="EP1420" s="4"/>
      <c r="EQ1420" s="4"/>
      <c r="ER1420" s="4"/>
      <c r="ES1420" s="4"/>
      <c r="ET1420" s="4"/>
      <c r="EU1420" s="4"/>
      <c r="EV1420" s="4"/>
      <c r="EW1420" s="4"/>
      <c r="EX1420" s="4"/>
      <c r="EY1420" s="4"/>
      <c r="EZ1420" s="4"/>
      <c r="FA1420" s="4"/>
      <c r="FB1420" s="4"/>
      <c r="FC1420" s="4"/>
      <c r="FD1420" s="4"/>
      <c r="FE1420" s="4"/>
      <c r="FF1420" s="4"/>
      <c r="FG1420" s="4"/>
      <c r="FH1420" s="4"/>
      <c r="FI1420" s="4"/>
      <c r="FJ1420" s="4"/>
      <c r="FK1420" s="4"/>
      <c r="FL1420" s="4"/>
      <c r="FM1420" s="4"/>
      <c r="FN1420" s="4"/>
      <c r="FO1420" s="4"/>
      <c r="FP1420" s="4"/>
      <c r="FQ1420" s="4"/>
      <c r="FR1420" s="4"/>
      <c r="FS1420" s="4"/>
      <c r="FT1420" s="4"/>
      <c r="FU1420" s="4"/>
      <c r="FV1420" s="4"/>
      <c r="FW1420" s="4"/>
      <c r="FX1420" s="4"/>
      <c r="FY1420" s="4"/>
      <c r="FZ1420" s="4"/>
      <c r="GA1420" s="4"/>
      <c r="GB1420" s="4"/>
      <c r="GC1420" s="4"/>
      <c r="GD1420" s="4"/>
      <c r="GE1420" s="4"/>
    </row>
    <row r="1421" spans="1:188" s="57" customFormat="1" ht="18" customHeight="1">
      <c r="A1421" s="13">
        <v>79</v>
      </c>
      <c r="B1421" s="92" t="s">
        <v>237</v>
      </c>
      <c r="C1421" s="45"/>
      <c r="D1421" s="44">
        <v>15</v>
      </c>
      <c r="E1421" s="44">
        <v>3</v>
      </c>
      <c r="F1421" s="44"/>
      <c r="G1421" s="44">
        <v>16</v>
      </c>
      <c r="H1421" s="44">
        <v>16</v>
      </c>
      <c r="I1421" s="44">
        <v>17</v>
      </c>
      <c r="J1421" s="44">
        <v>17</v>
      </c>
      <c r="K1421" s="44">
        <v>18</v>
      </c>
      <c r="L1421" s="44">
        <f>L1422+L1428</f>
        <v>22</v>
      </c>
      <c r="M1421" s="44">
        <f>M1422+M1428</f>
        <v>21</v>
      </c>
      <c r="N1421" s="44">
        <f>N1422+N1428</f>
        <v>22</v>
      </c>
      <c r="O1421" s="44">
        <f>O1422+O1428</f>
        <v>22</v>
      </c>
      <c r="P1421" s="44">
        <f>P1422+P1428</f>
        <v>22</v>
      </c>
      <c r="Q1421" s="54" t="s">
        <v>649</v>
      </c>
      <c r="R1421" s="54">
        <v>10</v>
      </c>
      <c r="S1421" s="55" t="s">
        <v>667</v>
      </c>
      <c r="T1421" s="56"/>
      <c r="U1421" s="56"/>
      <c r="V1421" s="56"/>
      <c r="W1421" s="56"/>
      <c r="X1421" s="56"/>
      <c r="Y1421" s="56"/>
      <c r="Z1421" s="56"/>
      <c r="AA1421" s="56"/>
      <c r="AB1421" s="56"/>
      <c r="AC1421" s="56"/>
      <c r="AD1421" s="56"/>
      <c r="AE1421" s="56"/>
      <c r="AF1421" s="56"/>
      <c r="AG1421" s="56"/>
      <c r="AH1421" s="56"/>
      <c r="AI1421" s="56"/>
      <c r="AJ1421" s="56"/>
      <c r="AK1421" s="56"/>
      <c r="AL1421" s="56"/>
      <c r="AM1421" s="56"/>
      <c r="AN1421" s="56"/>
      <c r="AO1421" s="56"/>
      <c r="AP1421" s="56"/>
      <c r="AQ1421" s="56"/>
      <c r="AR1421" s="56"/>
      <c r="AS1421" s="56"/>
      <c r="AT1421" s="56"/>
      <c r="AU1421" s="56"/>
      <c r="AV1421" s="56"/>
      <c r="AW1421" s="56"/>
      <c r="AX1421" s="56"/>
      <c r="AY1421" s="56"/>
      <c r="AZ1421" s="56"/>
      <c r="BA1421" s="56"/>
      <c r="BB1421" s="56"/>
      <c r="BC1421" s="56"/>
      <c r="BD1421" s="56"/>
      <c r="BE1421" s="56"/>
      <c r="BF1421" s="56"/>
      <c r="BG1421" s="56"/>
      <c r="BH1421" s="56"/>
      <c r="BI1421" s="56"/>
      <c r="BJ1421" s="56"/>
      <c r="BK1421" s="56"/>
      <c r="BL1421" s="56"/>
      <c r="BM1421" s="56"/>
      <c r="BN1421" s="56"/>
      <c r="BO1421" s="56"/>
      <c r="BP1421" s="56"/>
      <c r="BQ1421" s="56"/>
      <c r="BR1421" s="56"/>
      <c r="BS1421" s="56"/>
      <c r="BT1421" s="56"/>
      <c r="BU1421" s="56"/>
      <c r="BV1421" s="56"/>
      <c r="BW1421" s="56"/>
      <c r="BX1421" s="56"/>
      <c r="BY1421" s="56"/>
      <c r="BZ1421" s="56"/>
      <c r="CA1421" s="56"/>
      <c r="CB1421" s="56"/>
      <c r="CC1421" s="56"/>
      <c r="CD1421" s="56"/>
      <c r="CE1421" s="56"/>
      <c r="CF1421" s="56"/>
      <c r="CG1421" s="56"/>
      <c r="CH1421" s="56"/>
      <c r="CI1421" s="56"/>
      <c r="CJ1421" s="56"/>
      <c r="CK1421" s="56"/>
      <c r="CL1421" s="56"/>
      <c r="CM1421" s="56"/>
      <c r="CN1421" s="56"/>
      <c r="CO1421" s="56"/>
      <c r="CP1421" s="56"/>
      <c r="CQ1421" s="56"/>
      <c r="CR1421" s="56"/>
      <c r="CS1421" s="56"/>
      <c r="CT1421" s="56"/>
      <c r="CU1421" s="56"/>
      <c r="CV1421" s="56"/>
      <c r="CW1421" s="56"/>
      <c r="CX1421" s="56"/>
      <c r="CY1421" s="56"/>
      <c r="CZ1421" s="56"/>
      <c r="DA1421" s="56"/>
      <c r="DB1421" s="56"/>
      <c r="DC1421" s="56"/>
      <c r="DD1421" s="56"/>
      <c r="DE1421" s="56"/>
      <c r="DF1421" s="56"/>
      <c r="DG1421" s="56"/>
      <c r="DH1421" s="56"/>
      <c r="DI1421" s="56"/>
      <c r="DJ1421" s="56"/>
      <c r="DK1421" s="56"/>
      <c r="DL1421" s="56"/>
      <c r="DM1421" s="56"/>
      <c r="DN1421" s="56"/>
      <c r="DO1421" s="56"/>
      <c r="DP1421" s="56"/>
      <c r="DQ1421" s="56"/>
      <c r="DR1421" s="56"/>
      <c r="DS1421" s="56"/>
      <c r="DT1421" s="56"/>
      <c r="DU1421" s="56"/>
      <c r="DV1421" s="56"/>
      <c r="DW1421" s="56"/>
      <c r="DX1421" s="56"/>
      <c r="DY1421" s="56"/>
      <c r="DZ1421" s="56"/>
      <c r="EA1421" s="56"/>
      <c r="EB1421" s="56"/>
      <c r="EC1421" s="56"/>
      <c r="ED1421" s="56"/>
      <c r="EE1421" s="56"/>
      <c r="EF1421" s="56"/>
      <c r="EG1421" s="56"/>
      <c r="EH1421" s="56"/>
      <c r="EI1421" s="56"/>
      <c r="EJ1421" s="56"/>
      <c r="EK1421" s="56"/>
      <c r="EL1421" s="56"/>
      <c r="EM1421" s="56"/>
      <c r="EN1421" s="56"/>
      <c r="EO1421" s="56"/>
      <c r="EP1421" s="56"/>
      <c r="EQ1421" s="56"/>
      <c r="ER1421" s="56"/>
      <c r="ES1421" s="56"/>
      <c r="ET1421" s="56"/>
      <c r="EU1421" s="56"/>
      <c r="EV1421" s="56"/>
      <c r="EW1421" s="56"/>
      <c r="EX1421" s="56"/>
      <c r="EY1421" s="56"/>
      <c r="EZ1421" s="56"/>
      <c r="FA1421" s="56"/>
      <c r="FB1421" s="56"/>
      <c r="FC1421" s="56"/>
      <c r="FD1421" s="56"/>
      <c r="FE1421" s="56"/>
      <c r="FF1421" s="56"/>
      <c r="FG1421" s="56"/>
      <c r="FH1421" s="56"/>
      <c r="FI1421" s="56"/>
      <c r="FJ1421" s="56"/>
      <c r="FK1421" s="56"/>
      <c r="FL1421" s="56"/>
      <c r="FM1421" s="56"/>
      <c r="FN1421" s="56"/>
      <c r="FO1421" s="56"/>
      <c r="FP1421" s="56"/>
      <c r="FQ1421" s="56"/>
      <c r="FR1421" s="56"/>
      <c r="FS1421" s="56"/>
      <c r="FT1421" s="56"/>
      <c r="FU1421" s="56"/>
      <c r="FV1421" s="56"/>
      <c r="FW1421" s="56"/>
      <c r="FX1421" s="56"/>
      <c r="FY1421" s="56"/>
      <c r="FZ1421" s="56"/>
      <c r="GA1421" s="56"/>
      <c r="GB1421" s="56"/>
      <c r="GC1421" s="56"/>
      <c r="GD1421" s="56"/>
      <c r="GE1421" s="56"/>
      <c r="GF1421" s="56"/>
    </row>
    <row r="1422" spans="1:48" s="18" customFormat="1" ht="15.75" customHeight="1">
      <c r="A1422" s="50"/>
      <c r="B1422" s="93" t="s">
        <v>669</v>
      </c>
      <c r="C1422" s="16"/>
      <c r="D1422" s="52"/>
      <c r="E1422" s="52"/>
      <c r="F1422" s="52"/>
      <c r="G1422" s="52"/>
      <c r="H1422" s="52"/>
      <c r="I1422" s="52"/>
      <c r="J1422" s="52"/>
      <c r="K1422" s="52"/>
      <c r="L1422" s="60">
        <f>SUM(L1423:L1427)</f>
        <v>11</v>
      </c>
      <c r="M1422" s="60">
        <f>SUM(M1423:M1427)</f>
        <v>10</v>
      </c>
      <c r="N1422" s="60">
        <f>SUM(N1423:N1427)</f>
        <v>11</v>
      </c>
      <c r="O1422" s="60">
        <f>SUM(O1423:O1427)</f>
        <v>11</v>
      </c>
      <c r="P1422" s="60">
        <f>SUM(P1423:P1427)</f>
        <v>11</v>
      </c>
      <c r="Q1422" s="23"/>
      <c r="R1422" s="23"/>
      <c r="S1422" s="17"/>
      <c r="T1422" s="47"/>
      <c r="U1422" s="47"/>
      <c r="V1422" s="47"/>
      <c r="W1422" s="47"/>
      <c r="X1422" s="47"/>
      <c r="Y1422" s="47"/>
      <c r="Z1422" s="47"/>
      <c r="AA1422" s="47"/>
      <c r="AB1422" s="47"/>
      <c r="AC1422" s="47"/>
      <c r="AD1422" s="47"/>
      <c r="AE1422" s="47"/>
      <c r="AF1422" s="47"/>
      <c r="AG1422" s="47"/>
      <c r="AH1422" s="47"/>
      <c r="AI1422" s="47"/>
      <c r="AJ1422" s="47"/>
      <c r="AK1422" s="47"/>
      <c r="AL1422" s="47"/>
      <c r="AM1422" s="47"/>
      <c r="AN1422" s="47"/>
      <c r="AO1422" s="47"/>
      <c r="AP1422" s="47"/>
      <c r="AQ1422" s="47"/>
      <c r="AR1422" s="47"/>
      <c r="AS1422" s="47"/>
      <c r="AT1422" s="47"/>
      <c r="AU1422" s="47"/>
      <c r="AV1422" s="47"/>
    </row>
    <row r="1423" spans="1:48" s="27" customFormat="1" ht="18" customHeight="1">
      <c r="A1423" s="12"/>
      <c r="B1423" s="97" t="s">
        <v>784</v>
      </c>
      <c r="C1423" s="15" t="s">
        <v>785</v>
      </c>
      <c r="D1423" s="51"/>
      <c r="E1423" s="51"/>
      <c r="F1423" s="51"/>
      <c r="G1423" s="51">
        <v>1</v>
      </c>
      <c r="H1423" s="51">
        <v>1</v>
      </c>
      <c r="I1423" s="51">
        <v>1</v>
      </c>
      <c r="J1423" s="51">
        <v>1</v>
      </c>
      <c r="K1423" s="51">
        <v>1</v>
      </c>
      <c r="L1423" s="40" t="s">
        <v>556</v>
      </c>
      <c r="M1423" s="40" t="s">
        <v>556</v>
      </c>
      <c r="N1423" s="40" t="s">
        <v>556</v>
      </c>
      <c r="O1423" s="40" t="s">
        <v>556</v>
      </c>
      <c r="P1423" s="40">
        <v>1</v>
      </c>
      <c r="Q1423" s="30"/>
      <c r="R1423" s="30"/>
      <c r="S1423" s="30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</row>
    <row r="1424" spans="1:48" s="27" customFormat="1" ht="18" customHeight="1">
      <c r="A1424" s="12"/>
      <c r="B1424" s="97" t="s">
        <v>1051</v>
      </c>
      <c r="C1424" s="29" t="s">
        <v>1052</v>
      </c>
      <c r="D1424" s="51"/>
      <c r="E1424" s="51"/>
      <c r="F1424" s="51"/>
      <c r="G1424" s="51">
        <v>2</v>
      </c>
      <c r="H1424" s="51">
        <v>2</v>
      </c>
      <c r="I1424" s="51">
        <v>2</v>
      </c>
      <c r="J1424" s="51">
        <v>2</v>
      </c>
      <c r="K1424" s="51">
        <v>2</v>
      </c>
      <c r="L1424" s="40" t="s">
        <v>556</v>
      </c>
      <c r="M1424" s="40" t="s">
        <v>556</v>
      </c>
      <c r="N1424" s="40">
        <v>1</v>
      </c>
      <c r="O1424" s="40" t="s">
        <v>556</v>
      </c>
      <c r="P1424" s="40" t="s">
        <v>556</v>
      </c>
      <c r="Q1424" s="30"/>
      <c r="R1424" s="30"/>
      <c r="S1424" s="30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</row>
    <row r="1425" spans="1:48" s="27" customFormat="1" ht="18" customHeight="1">
      <c r="A1425" s="12"/>
      <c r="B1425" s="97" t="s">
        <v>255</v>
      </c>
      <c r="C1425" s="29" t="s">
        <v>256</v>
      </c>
      <c r="D1425" s="51"/>
      <c r="E1425" s="51"/>
      <c r="F1425" s="51"/>
      <c r="G1425" s="51">
        <v>3</v>
      </c>
      <c r="H1425" s="51">
        <v>4</v>
      </c>
      <c r="I1425" s="51">
        <v>4</v>
      </c>
      <c r="J1425" s="51">
        <v>4</v>
      </c>
      <c r="K1425" s="51">
        <v>4</v>
      </c>
      <c r="L1425" s="40">
        <v>1</v>
      </c>
      <c r="M1425" s="40" t="s">
        <v>556</v>
      </c>
      <c r="N1425" s="40" t="s">
        <v>556</v>
      </c>
      <c r="O1425" s="40">
        <v>1</v>
      </c>
      <c r="P1425" s="40" t="s">
        <v>556</v>
      </c>
      <c r="Q1425" s="30"/>
      <c r="R1425" s="30"/>
      <c r="S1425" s="30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</row>
    <row r="1426" spans="1:48" s="18" customFormat="1" ht="18" customHeight="1">
      <c r="A1426" s="50"/>
      <c r="B1426" s="97" t="s">
        <v>564</v>
      </c>
      <c r="C1426" s="29" t="s">
        <v>565</v>
      </c>
      <c r="D1426" s="52"/>
      <c r="E1426" s="52"/>
      <c r="F1426" s="52"/>
      <c r="G1426" s="52"/>
      <c r="H1426" s="52"/>
      <c r="I1426" s="52"/>
      <c r="J1426" s="52"/>
      <c r="K1426" s="52"/>
      <c r="L1426" s="40">
        <v>5</v>
      </c>
      <c r="M1426" s="40">
        <v>5</v>
      </c>
      <c r="N1426" s="40">
        <v>5</v>
      </c>
      <c r="O1426" s="40">
        <v>5</v>
      </c>
      <c r="P1426" s="40">
        <v>5</v>
      </c>
      <c r="Q1426" s="77"/>
      <c r="R1426" s="77"/>
      <c r="S1426" s="78"/>
      <c r="T1426" s="47"/>
      <c r="U1426" s="47"/>
      <c r="V1426" s="47"/>
      <c r="W1426" s="47"/>
      <c r="X1426" s="47"/>
      <c r="Y1426" s="47"/>
      <c r="Z1426" s="47"/>
      <c r="AA1426" s="47"/>
      <c r="AB1426" s="47"/>
      <c r="AC1426" s="47"/>
      <c r="AD1426" s="47"/>
      <c r="AE1426" s="47"/>
      <c r="AF1426" s="47"/>
      <c r="AG1426" s="47"/>
      <c r="AH1426" s="47"/>
      <c r="AI1426" s="47"/>
      <c r="AJ1426" s="47"/>
      <c r="AK1426" s="47"/>
      <c r="AL1426" s="47"/>
      <c r="AM1426" s="47"/>
      <c r="AN1426" s="47"/>
      <c r="AO1426" s="47"/>
      <c r="AP1426" s="47"/>
      <c r="AQ1426" s="47"/>
      <c r="AR1426" s="47"/>
      <c r="AS1426" s="47"/>
      <c r="AT1426" s="47"/>
      <c r="AU1426" s="47"/>
      <c r="AV1426" s="47"/>
    </row>
    <row r="1427" spans="1:48" s="18" customFormat="1" ht="18" customHeight="1">
      <c r="A1427" s="50"/>
      <c r="B1427" s="97" t="s">
        <v>411</v>
      </c>
      <c r="C1427" s="29" t="s">
        <v>412</v>
      </c>
      <c r="D1427" s="52"/>
      <c r="E1427" s="52"/>
      <c r="F1427" s="52"/>
      <c r="G1427" s="52"/>
      <c r="H1427" s="52"/>
      <c r="I1427" s="52"/>
      <c r="J1427" s="52"/>
      <c r="K1427" s="52"/>
      <c r="L1427" s="40">
        <v>5</v>
      </c>
      <c r="M1427" s="40">
        <v>5</v>
      </c>
      <c r="N1427" s="40">
        <v>5</v>
      </c>
      <c r="O1427" s="40">
        <v>5</v>
      </c>
      <c r="P1427" s="40">
        <v>5</v>
      </c>
      <c r="Q1427" s="77"/>
      <c r="R1427" s="77"/>
      <c r="S1427" s="78"/>
      <c r="T1427" s="47"/>
      <c r="U1427" s="47"/>
      <c r="V1427" s="47"/>
      <c r="W1427" s="47"/>
      <c r="X1427" s="47"/>
      <c r="Y1427" s="47"/>
      <c r="Z1427" s="47"/>
      <c r="AA1427" s="47"/>
      <c r="AB1427" s="47"/>
      <c r="AC1427" s="47"/>
      <c r="AD1427" s="47"/>
      <c r="AE1427" s="47"/>
      <c r="AF1427" s="47"/>
      <c r="AG1427" s="47"/>
      <c r="AH1427" s="47"/>
      <c r="AI1427" s="47"/>
      <c r="AJ1427" s="47"/>
      <c r="AK1427" s="47"/>
      <c r="AL1427" s="47"/>
      <c r="AM1427" s="47"/>
      <c r="AN1427" s="47"/>
      <c r="AO1427" s="47"/>
      <c r="AP1427" s="47"/>
      <c r="AQ1427" s="47"/>
      <c r="AR1427" s="47"/>
      <c r="AS1427" s="47"/>
      <c r="AT1427" s="47"/>
      <c r="AU1427" s="47"/>
      <c r="AV1427" s="47"/>
    </row>
    <row r="1428" spans="1:48" s="27" customFormat="1" ht="18" customHeight="1">
      <c r="A1428" s="12"/>
      <c r="B1428" s="93" t="s">
        <v>670</v>
      </c>
      <c r="C1428" s="29"/>
      <c r="D1428" s="51"/>
      <c r="E1428" s="51"/>
      <c r="F1428" s="51"/>
      <c r="G1428" s="51"/>
      <c r="H1428" s="51"/>
      <c r="I1428" s="51"/>
      <c r="J1428" s="51"/>
      <c r="K1428" s="51"/>
      <c r="L1428" s="60">
        <f>SUM(L1429:L1431)</f>
        <v>11</v>
      </c>
      <c r="M1428" s="60">
        <f>SUM(M1429:M1431)</f>
        <v>11</v>
      </c>
      <c r="N1428" s="60">
        <f>SUM(N1429:N1431)</f>
        <v>11</v>
      </c>
      <c r="O1428" s="60">
        <f>SUM(O1429:O1431)</f>
        <v>11</v>
      </c>
      <c r="P1428" s="60">
        <f>SUM(P1429:P1431)</f>
        <v>11</v>
      </c>
      <c r="Q1428" s="30"/>
      <c r="R1428" s="30"/>
      <c r="S1428" s="30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</row>
    <row r="1429" spans="1:48" s="27" customFormat="1" ht="30.75" customHeight="1">
      <c r="A1429" s="12"/>
      <c r="B1429" s="97" t="s">
        <v>280</v>
      </c>
      <c r="C1429" s="66" t="s">
        <v>281</v>
      </c>
      <c r="D1429" s="51"/>
      <c r="E1429" s="51"/>
      <c r="F1429" s="51"/>
      <c r="G1429" s="51"/>
      <c r="H1429" s="51"/>
      <c r="I1429" s="51"/>
      <c r="J1429" s="51"/>
      <c r="K1429" s="51"/>
      <c r="L1429" s="40">
        <v>2</v>
      </c>
      <c r="M1429" s="40">
        <v>2</v>
      </c>
      <c r="N1429" s="40">
        <v>2</v>
      </c>
      <c r="O1429" s="40">
        <v>2</v>
      </c>
      <c r="P1429" s="40">
        <v>2</v>
      </c>
      <c r="Q1429" s="30"/>
      <c r="R1429" s="30"/>
      <c r="S1429" s="30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</row>
    <row r="1430" spans="1:48" s="27" customFormat="1" ht="16.5" customHeight="1">
      <c r="A1430" s="12"/>
      <c r="B1430" s="97" t="s">
        <v>561</v>
      </c>
      <c r="C1430" s="66" t="s">
        <v>804</v>
      </c>
      <c r="D1430" s="51"/>
      <c r="E1430" s="51"/>
      <c r="F1430" s="51"/>
      <c r="G1430" s="51"/>
      <c r="H1430" s="51"/>
      <c r="I1430" s="51"/>
      <c r="J1430" s="51"/>
      <c r="K1430" s="51"/>
      <c r="L1430" s="40">
        <v>1</v>
      </c>
      <c r="M1430" s="40">
        <v>1</v>
      </c>
      <c r="N1430" s="40">
        <v>1</v>
      </c>
      <c r="O1430" s="40">
        <v>1</v>
      </c>
      <c r="P1430" s="40">
        <v>1</v>
      </c>
      <c r="Q1430" s="30"/>
      <c r="R1430" s="30"/>
      <c r="S1430" s="30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</row>
    <row r="1431" spans="1:48" s="18" customFormat="1" ht="18" customHeight="1">
      <c r="A1431" s="50"/>
      <c r="B1431" s="97" t="s">
        <v>299</v>
      </c>
      <c r="C1431" s="29" t="s">
        <v>300</v>
      </c>
      <c r="D1431" s="52"/>
      <c r="E1431" s="52"/>
      <c r="F1431" s="52"/>
      <c r="G1431" s="52"/>
      <c r="H1431" s="52"/>
      <c r="I1431" s="52"/>
      <c r="J1431" s="52"/>
      <c r="K1431" s="52"/>
      <c r="L1431" s="40">
        <v>8</v>
      </c>
      <c r="M1431" s="40">
        <v>8</v>
      </c>
      <c r="N1431" s="40">
        <v>8</v>
      </c>
      <c r="O1431" s="40">
        <v>8</v>
      </c>
      <c r="P1431" s="40">
        <v>8</v>
      </c>
      <c r="Q1431" s="77"/>
      <c r="R1431" s="77"/>
      <c r="S1431" s="78"/>
      <c r="T1431" s="47"/>
      <c r="U1431" s="47"/>
      <c r="V1431" s="47"/>
      <c r="W1431" s="47"/>
      <c r="X1431" s="47"/>
      <c r="Y1431" s="47"/>
      <c r="Z1431" s="47"/>
      <c r="AA1431" s="47"/>
      <c r="AB1431" s="47"/>
      <c r="AC1431" s="47"/>
      <c r="AD1431" s="47"/>
      <c r="AE1431" s="47"/>
      <c r="AF1431" s="47"/>
      <c r="AG1431" s="47"/>
      <c r="AH1431" s="47"/>
      <c r="AI1431" s="47"/>
      <c r="AJ1431" s="47"/>
      <c r="AK1431" s="47"/>
      <c r="AL1431" s="47"/>
      <c r="AM1431" s="47"/>
      <c r="AN1431" s="47"/>
      <c r="AO1431" s="47"/>
      <c r="AP1431" s="47"/>
      <c r="AQ1431" s="47"/>
      <c r="AR1431" s="47"/>
      <c r="AS1431" s="47"/>
      <c r="AT1431" s="47"/>
      <c r="AU1431" s="47"/>
      <c r="AV1431" s="47"/>
    </row>
    <row r="1432" spans="1:188" s="57" customFormat="1" ht="19.5" customHeight="1">
      <c r="A1432" s="13">
        <v>80</v>
      </c>
      <c r="B1432" s="92" t="s">
        <v>238</v>
      </c>
      <c r="C1432" s="45"/>
      <c r="D1432" s="44">
        <v>87</v>
      </c>
      <c r="E1432" s="44" t="s">
        <v>556</v>
      </c>
      <c r="F1432" s="44"/>
      <c r="G1432" s="44">
        <v>87</v>
      </c>
      <c r="H1432" s="44">
        <v>87</v>
      </c>
      <c r="I1432" s="44">
        <v>87</v>
      </c>
      <c r="J1432" s="44">
        <v>87</v>
      </c>
      <c r="K1432" s="44">
        <v>87</v>
      </c>
      <c r="L1432" s="44">
        <f>L1433</f>
        <v>2</v>
      </c>
      <c r="M1432" s="44">
        <f aca="true" t="shared" si="61" ref="M1432:P1433">M1433</f>
        <v>2</v>
      </c>
      <c r="N1432" s="44">
        <v>3</v>
      </c>
      <c r="O1432" s="44">
        <v>1</v>
      </c>
      <c r="P1432" s="44">
        <v>1</v>
      </c>
      <c r="Q1432" s="54" t="s">
        <v>649</v>
      </c>
      <c r="R1432" s="54">
        <v>10</v>
      </c>
      <c r="S1432" s="55" t="s">
        <v>667</v>
      </c>
      <c r="T1432" s="56"/>
      <c r="U1432" s="56"/>
      <c r="V1432" s="56"/>
      <c r="W1432" s="56"/>
      <c r="X1432" s="56"/>
      <c r="Y1432" s="56"/>
      <c r="Z1432" s="56"/>
      <c r="AA1432" s="56"/>
      <c r="AB1432" s="56"/>
      <c r="AC1432" s="56"/>
      <c r="AD1432" s="56"/>
      <c r="AE1432" s="56"/>
      <c r="AF1432" s="56"/>
      <c r="AG1432" s="56"/>
      <c r="AH1432" s="56"/>
      <c r="AI1432" s="56"/>
      <c r="AJ1432" s="56"/>
      <c r="AK1432" s="56"/>
      <c r="AL1432" s="56"/>
      <c r="AM1432" s="56"/>
      <c r="AN1432" s="56"/>
      <c r="AO1432" s="56"/>
      <c r="AP1432" s="56"/>
      <c r="AQ1432" s="56"/>
      <c r="AR1432" s="56"/>
      <c r="AS1432" s="56"/>
      <c r="AT1432" s="56"/>
      <c r="AU1432" s="56"/>
      <c r="AV1432" s="56"/>
      <c r="AW1432" s="56"/>
      <c r="AX1432" s="56"/>
      <c r="AY1432" s="56"/>
      <c r="AZ1432" s="56"/>
      <c r="BA1432" s="56"/>
      <c r="BB1432" s="56"/>
      <c r="BC1432" s="56"/>
      <c r="BD1432" s="56"/>
      <c r="BE1432" s="56"/>
      <c r="BF1432" s="56"/>
      <c r="BG1432" s="56"/>
      <c r="BH1432" s="56"/>
      <c r="BI1432" s="56"/>
      <c r="BJ1432" s="56"/>
      <c r="BK1432" s="56"/>
      <c r="BL1432" s="56"/>
      <c r="BM1432" s="56"/>
      <c r="BN1432" s="56"/>
      <c r="BO1432" s="56"/>
      <c r="BP1432" s="56"/>
      <c r="BQ1432" s="56"/>
      <c r="BR1432" s="56"/>
      <c r="BS1432" s="56"/>
      <c r="BT1432" s="56"/>
      <c r="BU1432" s="56"/>
      <c r="BV1432" s="56"/>
      <c r="BW1432" s="56"/>
      <c r="BX1432" s="56"/>
      <c r="BY1432" s="56"/>
      <c r="BZ1432" s="56"/>
      <c r="CA1432" s="56"/>
      <c r="CB1432" s="56"/>
      <c r="CC1432" s="56"/>
      <c r="CD1432" s="56"/>
      <c r="CE1432" s="56"/>
      <c r="CF1432" s="56"/>
      <c r="CG1432" s="56"/>
      <c r="CH1432" s="56"/>
      <c r="CI1432" s="56"/>
      <c r="CJ1432" s="56"/>
      <c r="CK1432" s="56"/>
      <c r="CL1432" s="56"/>
      <c r="CM1432" s="56"/>
      <c r="CN1432" s="56"/>
      <c r="CO1432" s="56"/>
      <c r="CP1432" s="56"/>
      <c r="CQ1432" s="56"/>
      <c r="CR1432" s="56"/>
      <c r="CS1432" s="56"/>
      <c r="CT1432" s="56"/>
      <c r="CU1432" s="56"/>
      <c r="CV1432" s="56"/>
      <c r="CW1432" s="56"/>
      <c r="CX1432" s="56"/>
      <c r="CY1432" s="56"/>
      <c r="CZ1432" s="56"/>
      <c r="DA1432" s="56"/>
      <c r="DB1432" s="56"/>
      <c r="DC1432" s="56"/>
      <c r="DD1432" s="56"/>
      <c r="DE1432" s="56"/>
      <c r="DF1432" s="56"/>
      <c r="DG1432" s="56"/>
      <c r="DH1432" s="56"/>
      <c r="DI1432" s="56"/>
      <c r="DJ1432" s="56"/>
      <c r="DK1432" s="56"/>
      <c r="DL1432" s="56"/>
      <c r="DM1432" s="56"/>
      <c r="DN1432" s="56"/>
      <c r="DO1432" s="56"/>
      <c r="DP1432" s="56"/>
      <c r="DQ1432" s="56"/>
      <c r="DR1432" s="56"/>
      <c r="DS1432" s="56"/>
      <c r="DT1432" s="56"/>
      <c r="DU1432" s="56"/>
      <c r="DV1432" s="56"/>
      <c r="DW1432" s="56"/>
      <c r="DX1432" s="56"/>
      <c r="DY1432" s="56"/>
      <c r="DZ1432" s="56"/>
      <c r="EA1432" s="56"/>
      <c r="EB1432" s="56"/>
      <c r="EC1432" s="56"/>
      <c r="ED1432" s="56"/>
      <c r="EE1432" s="56"/>
      <c r="EF1432" s="56"/>
      <c r="EG1432" s="56"/>
      <c r="EH1432" s="56"/>
      <c r="EI1432" s="56"/>
      <c r="EJ1432" s="56"/>
      <c r="EK1432" s="56"/>
      <c r="EL1432" s="56"/>
      <c r="EM1432" s="56"/>
      <c r="EN1432" s="56"/>
      <c r="EO1432" s="56"/>
      <c r="EP1432" s="56"/>
      <c r="EQ1432" s="56"/>
      <c r="ER1432" s="56"/>
      <c r="ES1432" s="56"/>
      <c r="ET1432" s="56"/>
      <c r="EU1432" s="56"/>
      <c r="EV1432" s="56"/>
      <c r="EW1432" s="56"/>
      <c r="EX1432" s="56"/>
      <c r="EY1432" s="56"/>
      <c r="EZ1432" s="56"/>
      <c r="FA1432" s="56"/>
      <c r="FB1432" s="56"/>
      <c r="FC1432" s="56"/>
      <c r="FD1432" s="56"/>
      <c r="FE1432" s="56"/>
      <c r="FF1432" s="56"/>
      <c r="FG1432" s="56"/>
      <c r="FH1432" s="56"/>
      <c r="FI1432" s="56"/>
      <c r="FJ1432" s="56"/>
      <c r="FK1432" s="56"/>
      <c r="FL1432" s="56"/>
      <c r="FM1432" s="56"/>
      <c r="FN1432" s="56"/>
      <c r="FO1432" s="56"/>
      <c r="FP1432" s="56"/>
      <c r="FQ1432" s="56"/>
      <c r="FR1432" s="56"/>
      <c r="FS1432" s="56"/>
      <c r="FT1432" s="56"/>
      <c r="FU1432" s="56"/>
      <c r="FV1432" s="56"/>
      <c r="FW1432" s="56"/>
      <c r="FX1432" s="56"/>
      <c r="FY1432" s="56"/>
      <c r="FZ1432" s="56"/>
      <c r="GA1432" s="56"/>
      <c r="GB1432" s="56"/>
      <c r="GC1432" s="56"/>
      <c r="GD1432" s="56"/>
      <c r="GE1432" s="56"/>
      <c r="GF1432" s="56"/>
    </row>
    <row r="1433" spans="1:48" s="18" customFormat="1" ht="16.5" customHeight="1">
      <c r="A1433" s="50"/>
      <c r="B1433" s="93" t="s">
        <v>669</v>
      </c>
      <c r="C1433" s="16"/>
      <c r="D1433" s="52"/>
      <c r="E1433" s="52"/>
      <c r="F1433" s="52"/>
      <c r="G1433" s="52"/>
      <c r="H1433" s="52"/>
      <c r="I1433" s="52"/>
      <c r="J1433" s="52"/>
      <c r="K1433" s="52"/>
      <c r="L1433" s="60">
        <f>L1434</f>
        <v>2</v>
      </c>
      <c r="M1433" s="60">
        <f t="shared" si="61"/>
        <v>2</v>
      </c>
      <c r="N1433" s="60">
        <f t="shared" si="61"/>
        <v>2</v>
      </c>
      <c r="O1433" s="60" t="str">
        <f t="shared" si="61"/>
        <v> -</v>
      </c>
      <c r="P1433" s="60" t="str">
        <f t="shared" si="61"/>
        <v> -</v>
      </c>
      <c r="Q1433" s="23"/>
      <c r="R1433" s="23"/>
      <c r="S1433" s="17"/>
      <c r="T1433" s="47"/>
      <c r="U1433" s="47"/>
      <c r="V1433" s="47"/>
      <c r="W1433" s="47"/>
      <c r="X1433" s="47"/>
      <c r="Y1433" s="47"/>
      <c r="Z1433" s="47"/>
      <c r="AA1433" s="47"/>
      <c r="AB1433" s="47"/>
      <c r="AC1433" s="47"/>
      <c r="AD1433" s="47"/>
      <c r="AE1433" s="47"/>
      <c r="AF1433" s="47"/>
      <c r="AG1433" s="47"/>
      <c r="AH1433" s="47"/>
      <c r="AI1433" s="47"/>
      <c r="AJ1433" s="47"/>
      <c r="AK1433" s="47"/>
      <c r="AL1433" s="47"/>
      <c r="AM1433" s="47"/>
      <c r="AN1433" s="47"/>
      <c r="AO1433" s="47"/>
      <c r="AP1433" s="47"/>
      <c r="AQ1433" s="47"/>
      <c r="AR1433" s="47"/>
      <c r="AS1433" s="47"/>
      <c r="AT1433" s="47"/>
      <c r="AU1433" s="47"/>
      <c r="AV1433" s="47"/>
    </row>
    <row r="1434" spans="1:48" s="18" customFormat="1" ht="16.5" customHeight="1">
      <c r="A1434" s="50"/>
      <c r="B1434" s="97" t="s">
        <v>460</v>
      </c>
      <c r="C1434" s="29" t="s">
        <v>544</v>
      </c>
      <c r="D1434" s="52"/>
      <c r="E1434" s="52"/>
      <c r="F1434" s="52"/>
      <c r="G1434" s="52">
        <v>31</v>
      </c>
      <c r="H1434" s="52">
        <v>31</v>
      </c>
      <c r="I1434" s="52">
        <v>31</v>
      </c>
      <c r="J1434" s="52">
        <v>31</v>
      </c>
      <c r="K1434" s="52">
        <v>31</v>
      </c>
      <c r="L1434" s="40">
        <v>2</v>
      </c>
      <c r="M1434" s="40">
        <v>2</v>
      </c>
      <c r="N1434" s="40">
        <v>2</v>
      </c>
      <c r="O1434" s="40" t="s">
        <v>556</v>
      </c>
      <c r="P1434" s="40" t="s">
        <v>556</v>
      </c>
      <c r="Q1434" s="77"/>
      <c r="R1434" s="77"/>
      <c r="S1434" s="78"/>
      <c r="T1434" s="47"/>
      <c r="U1434" s="47"/>
      <c r="V1434" s="47"/>
      <c r="W1434" s="47"/>
      <c r="X1434" s="47"/>
      <c r="Y1434" s="47"/>
      <c r="Z1434" s="47"/>
      <c r="AA1434" s="47"/>
      <c r="AB1434" s="47"/>
      <c r="AC1434" s="47"/>
      <c r="AD1434" s="47"/>
      <c r="AE1434" s="47"/>
      <c r="AF1434" s="47"/>
      <c r="AG1434" s="47"/>
      <c r="AH1434" s="47"/>
      <c r="AI1434" s="47"/>
      <c r="AJ1434" s="47"/>
      <c r="AK1434" s="47"/>
      <c r="AL1434" s="47"/>
      <c r="AM1434" s="47"/>
      <c r="AN1434" s="47"/>
      <c r="AO1434" s="47"/>
      <c r="AP1434" s="47"/>
      <c r="AQ1434" s="47"/>
      <c r="AR1434" s="47"/>
      <c r="AS1434" s="47"/>
      <c r="AT1434" s="47"/>
      <c r="AU1434" s="47"/>
      <c r="AV1434" s="47"/>
    </row>
    <row r="1435" spans="1:48" s="18" customFormat="1" ht="16.5" customHeight="1">
      <c r="A1435" s="50"/>
      <c r="B1435" s="93" t="s">
        <v>670</v>
      </c>
      <c r="C1435" s="16"/>
      <c r="D1435" s="52"/>
      <c r="E1435" s="51"/>
      <c r="F1435" s="52"/>
      <c r="G1435" s="52"/>
      <c r="H1435" s="52"/>
      <c r="I1435" s="52"/>
      <c r="J1435" s="52"/>
      <c r="K1435" s="52"/>
      <c r="L1435" s="60" t="str">
        <f>L1436</f>
        <v> -</v>
      </c>
      <c r="M1435" s="60" t="str">
        <f>M1436</f>
        <v> -</v>
      </c>
      <c r="N1435" s="60">
        <f>N1436</f>
        <v>1</v>
      </c>
      <c r="O1435" s="60">
        <f>O1436</f>
        <v>1</v>
      </c>
      <c r="P1435" s="60">
        <f>P1436</f>
        <v>1</v>
      </c>
      <c r="Q1435" s="23"/>
      <c r="R1435" s="23"/>
      <c r="S1435" s="17"/>
      <c r="T1435" s="47"/>
      <c r="U1435" s="47"/>
      <c r="V1435" s="47"/>
      <c r="W1435" s="47"/>
      <c r="X1435" s="47"/>
      <c r="Y1435" s="47"/>
      <c r="Z1435" s="47"/>
      <c r="AA1435" s="47"/>
      <c r="AB1435" s="47"/>
      <c r="AC1435" s="47"/>
      <c r="AD1435" s="47"/>
      <c r="AE1435" s="47"/>
      <c r="AF1435" s="47"/>
      <c r="AG1435" s="47"/>
      <c r="AH1435" s="47"/>
      <c r="AI1435" s="47"/>
      <c r="AJ1435" s="47"/>
      <c r="AK1435" s="47"/>
      <c r="AL1435" s="47"/>
      <c r="AM1435" s="47"/>
      <c r="AN1435" s="47"/>
      <c r="AO1435" s="47"/>
      <c r="AP1435" s="47"/>
      <c r="AQ1435" s="47"/>
      <c r="AR1435" s="47"/>
      <c r="AS1435" s="47"/>
      <c r="AT1435" s="47"/>
      <c r="AU1435" s="47"/>
      <c r="AV1435" s="47"/>
    </row>
    <row r="1436" spans="1:48" s="27" customFormat="1" ht="16.5" customHeight="1">
      <c r="A1436" s="12"/>
      <c r="B1436" s="97" t="s">
        <v>566</v>
      </c>
      <c r="C1436" s="15" t="s">
        <v>567</v>
      </c>
      <c r="D1436" s="51"/>
      <c r="E1436" s="51"/>
      <c r="F1436" s="51">
        <v>2</v>
      </c>
      <c r="G1436" s="51">
        <v>1</v>
      </c>
      <c r="H1436" s="51">
        <v>1</v>
      </c>
      <c r="I1436" s="51">
        <v>1</v>
      </c>
      <c r="J1436" s="51">
        <v>1</v>
      </c>
      <c r="K1436" s="51">
        <v>1</v>
      </c>
      <c r="L1436" s="40" t="s">
        <v>556</v>
      </c>
      <c r="M1436" s="40" t="s">
        <v>556</v>
      </c>
      <c r="N1436" s="40">
        <v>1</v>
      </c>
      <c r="O1436" s="40">
        <v>1</v>
      </c>
      <c r="P1436" s="40">
        <v>1</v>
      </c>
      <c r="Q1436" s="30"/>
      <c r="R1436" s="30"/>
      <c r="S1436" s="30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</row>
    <row r="1437" spans="1:188" s="57" customFormat="1" ht="19.5" customHeight="1">
      <c r="A1437" s="13">
        <v>81</v>
      </c>
      <c r="B1437" s="92" t="s">
        <v>239</v>
      </c>
      <c r="C1437" s="45"/>
      <c r="D1437" s="44"/>
      <c r="E1437" s="44"/>
      <c r="F1437" s="44"/>
      <c r="G1437" s="44"/>
      <c r="H1437" s="44"/>
      <c r="I1437" s="44"/>
      <c r="J1437" s="44"/>
      <c r="K1437" s="44"/>
      <c r="L1437" s="44">
        <f>L1438</f>
        <v>12</v>
      </c>
      <c r="M1437" s="44">
        <f>M1438</f>
        <v>12</v>
      </c>
      <c r="N1437" s="44">
        <f>N1438</f>
        <v>10</v>
      </c>
      <c r="O1437" s="44">
        <f>O1438</f>
        <v>11</v>
      </c>
      <c r="P1437" s="44">
        <f>P1438</f>
        <v>11</v>
      </c>
      <c r="Q1437" s="54" t="s">
        <v>649</v>
      </c>
      <c r="R1437" s="54">
        <v>10</v>
      </c>
      <c r="S1437" s="55" t="s">
        <v>667</v>
      </c>
      <c r="T1437" s="56"/>
      <c r="U1437" s="56"/>
      <c r="V1437" s="56"/>
      <c r="W1437" s="56"/>
      <c r="X1437" s="56"/>
      <c r="Y1437" s="56"/>
      <c r="Z1437" s="56"/>
      <c r="AA1437" s="56"/>
      <c r="AB1437" s="56"/>
      <c r="AC1437" s="56"/>
      <c r="AD1437" s="56"/>
      <c r="AE1437" s="56"/>
      <c r="AF1437" s="56"/>
      <c r="AG1437" s="56"/>
      <c r="AH1437" s="56"/>
      <c r="AI1437" s="56"/>
      <c r="AJ1437" s="56"/>
      <c r="AK1437" s="56"/>
      <c r="AL1437" s="56"/>
      <c r="AM1437" s="56"/>
      <c r="AN1437" s="56"/>
      <c r="AO1437" s="56"/>
      <c r="AP1437" s="56"/>
      <c r="AQ1437" s="56"/>
      <c r="AR1437" s="56"/>
      <c r="AS1437" s="56"/>
      <c r="AT1437" s="56"/>
      <c r="AU1437" s="56"/>
      <c r="AV1437" s="56"/>
      <c r="AW1437" s="56"/>
      <c r="AX1437" s="56"/>
      <c r="AY1437" s="56"/>
      <c r="AZ1437" s="56"/>
      <c r="BA1437" s="56"/>
      <c r="BB1437" s="56"/>
      <c r="BC1437" s="56"/>
      <c r="BD1437" s="56"/>
      <c r="BE1437" s="56"/>
      <c r="BF1437" s="56"/>
      <c r="BG1437" s="56"/>
      <c r="BH1437" s="56"/>
      <c r="BI1437" s="56"/>
      <c r="BJ1437" s="56"/>
      <c r="BK1437" s="56"/>
      <c r="BL1437" s="56"/>
      <c r="BM1437" s="56"/>
      <c r="BN1437" s="56"/>
      <c r="BO1437" s="56"/>
      <c r="BP1437" s="56"/>
      <c r="BQ1437" s="56"/>
      <c r="BR1437" s="56"/>
      <c r="BS1437" s="56"/>
      <c r="BT1437" s="56"/>
      <c r="BU1437" s="56"/>
      <c r="BV1437" s="56"/>
      <c r="BW1437" s="56"/>
      <c r="BX1437" s="56"/>
      <c r="BY1437" s="56"/>
      <c r="BZ1437" s="56"/>
      <c r="CA1437" s="56"/>
      <c r="CB1437" s="56"/>
      <c r="CC1437" s="56"/>
      <c r="CD1437" s="56"/>
      <c r="CE1437" s="56"/>
      <c r="CF1437" s="56"/>
      <c r="CG1437" s="56"/>
      <c r="CH1437" s="56"/>
      <c r="CI1437" s="56"/>
      <c r="CJ1437" s="56"/>
      <c r="CK1437" s="56"/>
      <c r="CL1437" s="56"/>
      <c r="CM1437" s="56"/>
      <c r="CN1437" s="56"/>
      <c r="CO1437" s="56"/>
      <c r="CP1437" s="56"/>
      <c r="CQ1437" s="56"/>
      <c r="CR1437" s="56"/>
      <c r="CS1437" s="56"/>
      <c r="CT1437" s="56"/>
      <c r="CU1437" s="56"/>
      <c r="CV1437" s="56"/>
      <c r="CW1437" s="56"/>
      <c r="CX1437" s="56"/>
      <c r="CY1437" s="56"/>
      <c r="CZ1437" s="56"/>
      <c r="DA1437" s="56"/>
      <c r="DB1437" s="56"/>
      <c r="DC1437" s="56"/>
      <c r="DD1437" s="56"/>
      <c r="DE1437" s="56"/>
      <c r="DF1437" s="56"/>
      <c r="DG1437" s="56"/>
      <c r="DH1437" s="56"/>
      <c r="DI1437" s="56"/>
      <c r="DJ1437" s="56"/>
      <c r="DK1437" s="56"/>
      <c r="DL1437" s="56"/>
      <c r="DM1437" s="56"/>
      <c r="DN1437" s="56"/>
      <c r="DO1437" s="56"/>
      <c r="DP1437" s="56"/>
      <c r="DQ1437" s="56"/>
      <c r="DR1437" s="56"/>
      <c r="DS1437" s="56"/>
      <c r="DT1437" s="56"/>
      <c r="DU1437" s="56"/>
      <c r="DV1437" s="56"/>
      <c r="DW1437" s="56"/>
      <c r="DX1437" s="56"/>
      <c r="DY1437" s="56"/>
      <c r="DZ1437" s="56"/>
      <c r="EA1437" s="56"/>
      <c r="EB1437" s="56"/>
      <c r="EC1437" s="56"/>
      <c r="ED1437" s="56"/>
      <c r="EE1437" s="56"/>
      <c r="EF1437" s="56"/>
      <c r="EG1437" s="56"/>
      <c r="EH1437" s="56"/>
      <c r="EI1437" s="56"/>
      <c r="EJ1437" s="56"/>
      <c r="EK1437" s="56"/>
      <c r="EL1437" s="56"/>
      <c r="EM1437" s="56"/>
      <c r="EN1437" s="56"/>
      <c r="EO1437" s="56"/>
      <c r="EP1437" s="56"/>
      <c r="EQ1437" s="56"/>
      <c r="ER1437" s="56"/>
      <c r="ES1437" s="56"/>
      <c r="ET1437" s="56"/>
      <c r="EU1437" s="56"/>
      <c r="EV1437" s="56"/>
      <c r="EW1437" s="56"/>
      <c r="EX1437" s="56"/>
      <c r="EY1437" s="56"/>
      <c r="EZ1437" s="56"/>
      <c r="FA1437" s="56"/>
      <c r="FB1437" s="56"/>
      <c r="FC1437" s="56"/>
      <c r="FD1437" s="56"/>
      <c r="FE1437" s="56"/>
      <c r="FF1437" s="56"/>
      <c r="FG1437" s="56"/>
      <c r="FH1437" s="56"/>
      <c r="FI1437" s="56"/>
      <c r="FJ1437" s="56"/>
      <c r="FK1437" s="56"/>
      <c r="FL1437" s="56"/>
      <c r="FM1437" s="56"/>
      <c r="FN1437" s="56"/>
      <c r="FO1437" s="56"/>
      <c r="FP1437" s="56"/>
      <c r="FQ1437" s="56"/>
      <c r="FR1437" s="56"/>
      <c r="FS1437" s="56"/>
      <c r="FT1437" s="56"/>
      <c r="FU1437" s="56"/>
      <c r="FV1437" s="56"/>
      <c r="FW1437" s="56"/>
      <c r="FX1437" s="56"/>
      <c r="FY1437" s="56"/>
      <c r="FZ1437" s="56"/>
      <c r="GA1437" s="56"/>
      <c r="GB1437" s="56"/>
      <c r="GC1437" s="56"/>
      <c r="GD1437" s="56"/>
      <c r="GE1437" s="56"/>
      <c r="GF1437" s="56"/>
    </row>
    <row r="1438" spans="1:48" s="18" customFormat="1" ht="16.5" customHeight="1">
      <c r="A1438" s="50"/>
      <c r="B1438" s="93" t="s">
        <v>670</v>
      </c>
      <c r="C1438" s="16"/>
      <c r="D1438" s="52"/>
      <c r="E1438" s="51"/>
      <c r="F1438" s="52"/>
      <c r="G1438" s="52"/>
      <c r="H1438" s="52"/>
      <c r="I1438" s="52"/>
      <c r="J1438" s="52"/>
      <c r="K1438" s="52"/>
      <c r="L1438" s="60">
        <f>SUM(L1439:L1441)</f>
        <v>12</v>
      </c>
      <c r="M1438" s="60">
        <f>SUM(M1439:M1441)</f>
        <v>12</v>
      </c>
      <c r="N1438" s="60">
        <f>SUM(N1439:N1441)</f>
        <v>10</v>
      </c>
      <c r="O1438" s="60">
        <f>SUM(O1439:O1441)</f>
        <v>11</v>
      </c>
      <c r="P1438" s="60">
        <f>SUM(P1439:P1441)</f>
        <v>11</v>
      </c>
      <c r="Q1438" s="23"/>
      <c r="R1438" s="23"/>
      <c r="S1438" s="17"/>
      <c r="T1438" s="47"/>
      <c r="U1438" s="47"/>
      <c r="V1438" s="47"/>
      <c r="W1438" s="47"/>
      <c r="X1438" s="47"/>
      <c r="Y1438" s="47"/>
      <c r="Z1438" s="47"/>
      <c r="AA1438" s="47"/>
      <c r="AB1438" s="47"/>
      <c r="AC1438" s="47"/>
      <c r="AD1438" s="47"/>
      <c r="AE1438" s="47"/>
      <c r="AF1438" s="47"/>
      <c r="AG1438" s="47"/>
      <c r="AH1438" s="47"/>
      <c r="AI1438" s="47"/>
      <c r="AJ1438" s="47"/>
      <c r="AK1438" s="47"/>
      <c r="AL1438" s="47"/>
      <c r="AM1438" s="47"/>
      <c r="AN1438" s="47"/>
      <c r="AO1438" s="47"/>
      <c r="AP1438" s="47"/>
      <c r="AQ1438" s="47"/>
      <c r="AR1438" s="47"/>
      <c r="AS1438" s="47"/>
      <c r="AT1438" s="47"/>
      <c r="AU1438" s="47"/>
      <c r="AV1438" s="47"/>
    </row>
    <row r="1439" spans="1:48" s="27" customFormat="1" ht="16.5" customHeight="1">
      <c r="A1439" s="12"/>
      <c r="B1439" s="105" t="s">
        <v>133</v>
      </c>
      <c r="C1439" s="15" t="s">
        <v>134</v>
      </c>
      <c r="D1439" s="51"/>
      <c r="E1439" s="51"/>
      <c r="F1439" s="51"/>
      <c r="G1439" s="51"/>
      <c r="H1439" s="51"/>
      <c r="I1439" s="51"/>
      <c r="J1439" s="51"/>
      <c r="K1439" s="51"/>
      <c r="L1439" s="40">
        <v>4</v>
      </c>
      <c r="M1439" s="40">
        <v>4</v>
      </c>
      <c r="N1439" s="40">
        <v>3</v>
      </c>
      <c r="O1439" s="40">
        <v>4</v>
      </c>
      <c r="P1439" s="40">
        <v>4</v>
      </c>
      <c r="Q1439" s="30"/>
      <c r="R1439" s="30"/>
      <c r="S1439" s="30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</row>
    <row r="1440" spans="1:48" s="27" customFormat="1" ht="16.5" customHeight="1">
      <c r="A1440" s="12"/>
      <c r="B1440" s="97" t="s">
        <v>299</v>
      </c>
      <c r="C1440" s="15" t="s">
        <v>300</v>
      </c>
      <c r="D1440" s="51"/>
      <c r="E1440" s="51"/>
      <c r="F1440" s="51"/>
      <c r="G1440" s="51"/>
      <c r="H1440" s="51"/>
      <c r="I1440" s="51"/>
      <c r="J1440" s="51"/>
      <c r="K1440" s="51"/>
      <c r="L1440" s="40">
        <v>5</v>
      </c>
      <c r="M1440" s="40">
        <v>5</v>
      </c>
      <c r="N1440" s="40">
        <v>5</v>
      </c>
      <c r="O1440" s="40">
        <v>5</v>
      </c>
      <c r="P1440" s="40">
        <v>5</v>
      </c>
      <c r="Q1440" s="30"/>
      <c r="R1440" s="30"/>
      <c r="S1440" s="30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</row>
    <row r="1441" spans="1:48" s="27" customFormat="1" ht="16.5" customHeight="1">
      <c r="A1441" s="12"/>
      <c r="B1441" s="97" t="s">
        <v>301</v>
      </c>
      <c r="C1441" s="15" t="s">
        <v>302</v>
      </c>
      <c r="D1441" s="51"/>
      <c r="E1441" s="51"/>
      <c r="F1441" s="51"/>
      <c r="G1441" s="51"/>
      <c r="H1441" s="51"/>
      <c r="I1441" s="51"/>
      <c r="J1441" s="51"/>
      <c r="K1441" s="51"/>
      <c r="L1441" s="40">
        <v>3</v>
      </c>
      <c r="M1441" s="40">
        <v>3</v>
      </c>
      <c r="N1441" s="40">
        <v>2</v>
      </c>
      <c r="O1441" s="40">
        <v>2</v>
      </c>
      <c r="P1441" s="40">
        <v>2</v>
      </c>
      <c r="Q1441" s="30"/>
      <c r="R1441" s="30"/>
      <c r="S1441" s="30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</row>
    <row r="1442" spans="1:19" ht="15" customHeight="1">
      <c r="A1442" s="399" t="s">
        <v>660</v>
      </c>
      <c r="B1442" s="399"/>
      <c r="C1442" s="399"/>
      <c r="D1442" s="399"/>
      <c r="E1442" s="399"/>
      <c r="F1442" s="399"/>
      <c r="G1442" s="399"/>
      <c r="H1442" s="399"/>
      <c r="I1442" s="399"/>
      <c r="J1442" s="399"/>
      <c r="K1442" s="399"/>
      <c r="L1442" s="399"/>
      <c r="M1442" s="399"/>
      <c r="N1442" s="399"/>
      <c r="O1442" s="399"/>
      <c r="P1442" s="399"/>
      <c r="Q1442" s="20"/>
      <c r="R1442" s="20"/>
      <c r="S1442" s="7"/>
    </row>
    <row r="1443" spans="1:19" ht="13.5" customHeight="1">
      <c r="A1443" s="400" t="s">
        <v>909</v>
      </c>
      <c r="B1443" s="400"/>
      <c r="C1443" s="400"/>
      <c r="D1443" s="400"/>
      <c r="E1443" s="400"/>
      <c r="F1443" s="400"/>
      <c r="G1443" s="400"/>
      <c r="H1443" s="400"/>
      <c r="I1443" s="400"/>
      <c r="J1443" s="400"/>
      <c r="K1443" s="400"/>
      <c r="L1443" s="400"/>
      <c r="M1443" s="400"/>
      <c r="N1443" s="400"/>
      <c r="O1443" s="400"/>
      <c r="P1443" s="400"/>
      <c r="Q1443" s="21"/>
      <c r="R1443" s="21"/>
      <c r="S1443" s="8"/>
    </row>
    <row r="1444" spans="1:188" s="57" customFormat="1" ht="18" customHeight="1">
      <c r="A1444" s="13">
        <v>82</v>
      </c>
      <c r="B1444" s="92" t="s">
        <v>240</v>
      </c>
      <c r="C1444" s="45"/>
      <c r="D1444" s="44">
        <v>73</v>
      </c>
      <c r="E1444" s="44">
        <v>19</v>
      </c>
      <c r="F1444" s="44">
        <v>63</v>
      </c>
      <c r="G1444" s="44">
        <v>63</v>
      </c>
      <c r="H1444" s="44">
        <v>62</v>
      </c>
      <c r="I1444" s="44">
        <v>62</v>
      </c>
      <c r="J1444" s="44"/>
      <c r="K1444" s="44">
        <v>62</v>
      </c>
      <c r="L1444" s="44">
        <f>SUM(L1445,L1450,L1453)</f>
        <v>7</v>
      </c>
      <c r="M1444" s="44">
        <f>SUM(M1445,M1450,M1453)</f>
        <v>7</v>
      </c>
      <c r="N1444" s="44">
        <f>SUM(N1445,N1450,N1453)</f>
        <v>1</v>
      </c>
      <c r="O1444" s="44">
        <f>SUM(O1445,O1450,O1453)</f>
        <v>5</v>
      </c>
      <c r="P1444" s="44">
        <f>SUM(P1445,P1450,P1453)</f>
        <v>4</v>
      </c>
      <c r="Q1444" s="54" t="s">
        <v>649</v>
      </c>
      <c r="R1444" s="54">
        <v>7</v>
      </c>
      <c r="S1444" s="55" t="s">
        <v>419</v>
      </c>
      <c r="T1444" s="56"/>
      <c r="U1444" s="56"/>
      <c r="V1444" s="56"/>
      <c r="W1444" s="56"/>
      <c r="X1444" s="56"/>
      <c r="Y1444" s="56"/>
      <c r="Z1444" s="56"/>
      <c r="AA1444" s="56"/>
      <c r="AB1444" s="56"/>
      <c r="AC1444" s="56"/>
      <c r="AD1444" s="56"/>
      <c r="AE1444" s="56"/>
      <c r="AF1444" s="56"/>
      <c r="AG1444" s="56"/>
      <c r="AH1444" s="56"/>
      <c r="AI1444" s="56"/>
      <c r="AJ1444" s="56"/>
      <c r="AK1444" s="56"/>
      <c r="AL1444" s="56"/>
      <c r="AM1444" s="56"/>
      <c r="AN1444" s="56"/>
      <c r="AO1444" s="56"/>
      <c r="AP1444" s="56"/>
      <c r="AQ1444" s="56"/>
      <c r="AR1444" s="56"/>
      <c r="AS1444" s="56"/>
      <c r="AT1444" s="56"/>
      <c r="AU1444" s="56"/>
      <c r="AV1444" s="56"/>
      <c r="AW1444" s="56"/>
      <c r="AX1444" s="56"/>
      <c r="AY1444" s="56"/>
      <c r="AZ1444" s="56"/>
      <c r="BA1444" s="56"/>
      <c r="BB1444" s="56"/>
      <c r="BC1444" s="56"/>
      <c r="BD1444" s="56"/>
      <c r="BE1444" s="56"/>
      <c r="BF1444" s="56"/>
      <c r="BG1444" s="56"/>
      <c r="BH1444" s="56"/>
      <c r="BI1444" s="56"/>
      <c r="BJ1444" s="56"/>
      <c r="BK1444" s="56"/>
      <c r="BL1444" s="56"/>
      <c r="BM1444" s="56"/>
      <c r="BN1444" s="56"/>
      <c r="BO1444" s="56"/>
      <c r="BP1444" s="56"/>
      <c r="BQ1444" s="56"/>
      <c r="BR1444" s="56"/>
      <c r="BS1444" s="56"/>
      <c r="BT1444" s="56"/>
      <c r="BU1444" s="56"/>
      <c r="BV1444" s="56"/>
      <c r="BW1444" s="56"/>
      <c r="BX1444" s="56"/>
      <c r="BY1444" s="56"/>
      <c r="BZ1444" s="56"/>
      <c r="CA1444" s="56"/>
      <c r="CB1444" s="56"/>
      <c r="CC1444" s="56"/>
      <c r="CD1444" s="56"/>
      <c r="CE1444" s="56"/>
      <c r="CF1444" s="56"/>
      <c r="CG1444" s="56"/>
      <c r="CH1444" s="56"/>
      <c r="CI1444" s="56"/>
      <c r="CJ1444" s="56"/>
      <c r="CK1444" s="56"/>
      <c r="CL1444" s="56"/>
      <c r="CM1444" s="56"/>
      <c r="CN1444" s="56"/>
      <c r="CO1444" s="56"/>
      <c r="CP1444" s="56"/>
      <c r="CQ1444" s="56"/>
      <c r="CR1444" s="56"/>
      <c r="CS1444" s="56"/>
      <c r="CT1444" s="56"/>
      <c r="CU1444" s="56"/>
      <c r="CV1444" s="56"/>
      <c r="CW1444" s="56"/>
      <c r="CX1444" s="56"/>
      <c r="CY1444" s="56"/>
      <c r="CZ1444" s="56"/>
      <c r="DA1444" s="56"/>
      <c r="DB1444" s="56"/>
      <c r="DC1444" s="56"/>
      <c r="DD1444" s="56"/>
      <c r="DE1444" s="56"/>
      <c r="DF1444" s="56"/>
      <c r="DG1444" s="56"/>
      <c r="DH1444" s="56"/>
      <c r="DI1444" s="56"/>
      <c r="DJ1444" s="56"/>
      <c r="DK1444" s="56"/>
      <c r="DL1444" s="56"/>
      <c r="DM1444" s="56"/>
      <c r="DN1444" s="56"/>
      <c r="DO1444" s="56"/>
      <c r="DP1444" s="56"/>
      <c r="DQ1444" s="56"/>
      <c r="DR1444" s="56"/>
      <c r="DS1444" s="56"/>
      <c r="DT1444" s="56"/>
      <c r="DU1444" s="56"/>
      <c r="DV1444" s="56"/>
      <c r="DW1444" s="56"/>
      <c r="DX1444" s="56"/>
      <c r="DY1444" s="56"/>
      <c r="DZ1444" s="56"/>
      <c r="EA1444" s="56"/>
      <c r="EB1444" s="56"/>
      <c r="EC1444" s="56"/>
      <c r="ED1444" s="56"/>
      <c r="EE1444" s="56"/>
      <c r="EF1444" s="56"/>
      <c r="EG1444" s="56"/>
      <c r="EH1444" s="56"/>
      <c r="EI1444" s="56"/>
      <c r="EJ1444" s="56"/>
      <c r="EK1444" s="56"/>
      <c r="EL1444" s="56"/>
      <c r="EM1444" s="56"/>
      <c r="EN1444" s="56"/>
      <c r="EO1444" s="56"/>
      <c r="EP1444" s="56"/>
      <c r="EQ1444" s="56"/>
      <c r="ER1444" s="56"/>
      <c r="ES1444" s="56"/>
      <c r="ET1444" s="56"/>
      <c r="EU1444" s="56"/>
      <c r="EV1444" s="56"/>
      <c r="EW1444" s="56"/>
      <c r="EX1444" s="56"/>
      <c r="EY1444" s="56"/>
      <c r="EZ1444" s="56"/>
      <c r="FA1444" s="56"/>
      <c r="FB1444" s="56"/>
      <c r="FC1444" s="56"/>
      <c r="FD1444" s="56"/>
      <c r="FE1444" s="56"/>
      <c r="FF1444" s="56"/>
      <c r="FG1444" s="56"/>
      <c r="FH1444" s="56"/>
      <c r="FI1444" s="56"/>
      <c r="FJ1444" s="56"/>
      <c r="FK1444" s="56"/>
      <c r="FL1444" s="56"/>
      <c r="FM1444" s="56"/>
      <c r="FN1444" s="56"/>
      <c r="FO1444" s="56"/>
      <c r="FP1444" s="56"/>
      <c r="FQ1444" s="56"/>
      <c r="FR1444" s="56"/>
      <c r="FS1444" s="56"/>
      <c r="FT1444" s="56"/>
      <c r="FU1444" s="56"/>
      <c r="FV1444" s="56"/>
      <c r="FW1444" s="56"/>
      <c r="FX1444" s="56"/>
      <c r="FY1444" s="56"/>
      <c r="FZ1444" s="56"/>
      <c r="GA1444" s="56"/>
      <c r="GB1444" s="56"/>
      <c r="GC1444" s="56"/>
      <c r="GD1444" s="56"/>
      <c r="GE1444" s="56"/>
      <c r="GF1444" s="56"/>
    </row>
    <row r="1445" spans="1:48" s="18" customFormat="1" ht="17.25" customHeight="1">
      <c r="A1445" s="50"/>
      <c r="B1445" s="93" t="s">
        <v>669</v>
      </c>
      <c r="C1445" s="16"/>
      <c r="D1445" s="52"/>
      <c r="E1445" s="52"/>
      <c r="F1445" s="52"/>
      <c r="G1445" s="52"/>
      <c r="H1445" s="52"/>
      <c r="I1445" s="52"/>
      <c r="J1445" s="52"/>
      <c r="K1445" s="52"/>
      <c r="L1445" s="60">
        <f>SUM(L1446:L1449)</f>
        <v>5</v>
      </c>
      <c r="M1445" s="60">
        <f>SUM(M1446:M1449)</f>
        <v>2</v>
      </c>
      <c r="N1445" s="60">
        <f>SUM(N1446:N1449)</f>
        <v>1</v>
      </c>
      <c r="O1445" s="60">
        <f>SUM(O1446:O1449)</f>
        <v>5</v>
      </c>
      <c r="P1445" s="60">
        <f>SUM(P1446:P1449)</f>
        <v>4</v>
      </c>
      <c r="Q1445" s="23"/>
      <c r="R1445" s="23"/>
      <c r="S1445" s="17"/>
      <c r="T1445" s="47"/>
      <c r="U1445" s="47"/>
      <c r="V1445" s="47"/>
      <c r="W1445" s="47"/>
      <c r="X1445" s="47"/>
      <c r="Y1445" s="47"/>
      <c r="Z1445" s="47"/>
      <c r="AA1445" s="47"/>
      <c r="AB1445" s="47"/>
      <c r="AC1445" s="47"/>
      <c r="AD1445" s="47"/>
      <c r="AE1445" s="47"/>
      <c r="AF1445" s="47"/>
      <c r="AG1445" s="47"/>
      <c r="AH1445" s="47"/>
      <c r="AI1445" s="47"/>
      <c r="AJ1445" s="47"/>
      <c r="AK1445" s="47"/>
      <c r="AL1445" s="47"/>
      <c r="AM1445" s="47"/>
      <c r="AN1445" s="47"/>
      <c r="AO1445" s="47"/>
      <c r="AP1445" s="47"/>
      <c r="AQ1445" s="47"/>
      <c r="AR1445" s="47"/>
      <c r="AS1445" s="47"/>
      <c r="AT1445" s="47"/>
      <c r="AU1445" s="47"/>
      <c r="AV1445" s="47"/>
    </row>
    <row r="1446" spans="1:48" s="27" customFormat="1" ht="18.75" customHeight="1">
      <c r="A1446" s="12"/>
      <c r="B1446" s="97" t="s">
        <v>446</v>
      </c>
      <c r="C1446" s="29" t="s">
        <v>447</v>
      </c>
      <c r="D1446" s="40"/>
      <c r="E1446" s="40"/>
      <c r="F1446" s="40">
        <v>49</v>
      </c>
      <c r="G1446" s="40">
        <v>49</v>
      </c>
      <c r="H1446" s="40">
        <v>49</v>
      </c>
      <c r="I1446" s="40">
        <v>49</v>
      </c>
      <c r="J1446" s="40"/>
      <c r="K1446" s="40">
        <v>49</v>
      </c>
      <c r="L1446" s="40">
        <v>2</v>
      </c>
      <c r="M1446" s="40" t="s">
        <v>556</v>
      </c>
      <c r="N1446" s="40" t="s">
        <v>556</v>
      </c>
      <c r="O1446" s="40">
        <v>1</v>
      </c>
      <c r="P1446" s="40" t="s">
        <v>556</v>
      </c>
      <c r="Q1446" s="30"/>
      <c r="R1446" s="30"/>
      <c r="S1446" s="30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</row>
    <row r="1447" spans="1:48" s="27" customFormat="1" ht="18.75" customHeight="1">
      <c r="A1447" s="12"/>
      <c r="B1447" s="97" t="s">
        <v>460</v>
      </c>
      <c r="C1447" s="29" t="s">
        <v>544</v>
      </c>
      <c r="D1447" s="40"/>
      <c r="E1447" s="40"/>
      <c r="F1447" s="40"/>
      <c r="G1447" s="40"/>
      <c r="H1447" s="40"/>
      <c r="I1447" s="40"/>
      <c r="J1447" s="40"/>
      <c r="K1447" s="40"/>
      <c r="L1447" s="40">
        <v>3</v>
      </c>
      <c r="M1447" s="40">
        <v>1</v>
      </c>
      <c r="N1447" s="40">
        <v>1</v>
      </c>
      <c r="O1447" s="40">
        <v>4</v>
      </c>
      <c r="P1447" s="40">
        <v>3</v>
      </c>
      <c r="Q1447" s="30"/>
      <c r="R1447" s="30"/>
      <c r="S1447" s="30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</row>
    <row r="1448" spans="1:48" s="27" customFormat="1" ht="18.75" customHeight="1">
      <c r="A1448" s="12"/>
      <c r="B1448" s="105" t="s">
        <v>560</v>
      </c>
      <c r="C1448" s="15" t="s">
        <v>1319</v>
      </c>
      <c r="D1448" s="40"/>
      <c r="E1448" s="40"/>
      <c r="F1448" s="40"/>
      <c r="G1448" s="40"/>
      <c r="H1448" s="40"/>
      <c r="I1448" s="40"/>
      <c r="J1448" s="40"/>
      <c r="K1448" s="40"/>
      <c r="L1448" s="40" t="s">
        <v>556</v>
      </c>
      <c r="M1448" s="40" t="s">
        <v>556</v>
      </c>
      <c r="N1448" s="40" t="s">
        <v>556</v>
      </c>
      <c r="O1448" s="40" t="s">
        <v>556</v>
      </c>
      <c r="P1448" s="40">
        <v>1</v>
      </c>
      <c r="Q1448" s="30"/>
      <c r="R1448" s="30"/>
      <c r="S1448" s="30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</row>
    <row r="1449" spans="1:48" s="27" customFormat="1" ht="18.75" customHeight="1">
      <c r="A1449" s="12"/>
      <c r="B1449" s="97" t="s">
        <v>564</v>
      </c>
      <c r="C1449" s="29" t="s">
        <v>565</v>
      </c>
      <c r="D1449" s="40"/>
      <c r="E1449" s="40"/>
      <c r="F1449" s="40">
        <v>1</v>
      </c>
      <c r="G1449" s="40">
        <v>1</v>
      </c>
      <c r="H1449" s="40">
        <v>1</v>
      </c>
      <c r="I1449" s="40">
        <v>1</v>
      </c>
      <c r="J1449" s="40"/>
      <c r="K1449" s="40">
        <v>1</v>
      </c>
      <c r="L1449" s="40" t="s">
        <v>556</v>
      </c>
      <c r="M1449" s="40">
        <v>1</v>
      </c>
      <c r="N1449" s="40" t="s">
        <v>556</v>
      </c>
      <c r="O1449" s="40" t="s">
        <v>556</v>
      </c>
      <c r="P1449" s="40" t="s">
        <v>556</v>
      </c>
      <c r="Q1449" s="30"/>
      <c r="R1449" s="30"/>
      <c r="S1449" s="30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</row>
    <row r="1450" spans="1:48" s="18" customFormat="1" ht="16.5" customHeight="1">
      <c r="A1450" s="50"/>
      <c r="B1450" s="93" t="s">
        <v>670</v>
      </c>
      <c r="C1450" s="16"/>
      <c r="D1450" s="52"/>
      <c r="E1450" s="51"/>
      <c r="F1450" s="52"/>
      <c r="G1450" s="52"/>
      <c r="H1450" s="52"/>
      <c r="I1450" s="52"/>
      <c r="J1450" s="52"/>
      <c r="K1450" s="52"/>
      <c r="L1450" s="60">
        <f>L1451</f>
        <v>1</v>
      </c>
      <c r="M1450" s="60">
        <v>2</v>
      </c>
      <c r="N1450" s="60" t="str">
        <f>N1451</f>
        <v> -</v>
      </c>
      <c r="O1450" s="60" t="str">
        <f>O1451</f>
        <v> -</v>
      </c>
      <c r="P1450" s="60" t="str">
        <f>P1451</f>
        <v> -</v>
      </c>
      <c r="Q1450" s="23"/>
      <c r="R1450" s="23"/>
      <c r="S1450" s="17"/>
      <c r="T1450" s="47"/>
      <c r="U1450" s="47"/>
      <c r="V1450" s="47"/>
      <c r="W1450" s="47"/>
      <c r="X1450" s="47"/>
      <c r="Y1450" s="47"/>
      <c r="Z1450" s="47"/>
      <c r="AA1450" s="47"/>
      <c r="AB1450" s="47"/>
      <c r="AC1450" s="47"/>
      <c r="AD1450" s="47"/>
      <c r="AE1450" s="47"/>
      <c r="AF1450" s="47"/>
      <c r="AG1450" s="47"/>
      <c r="AH1450" s="47"/>
      <c r="AI1450" s="47"/>
      <c r="AJ1450" s="47"/>
      <c r="AK1450" s="47"/>
      <c r="AL1450" s="47"/>
      <c r="AM1450" s="47"/>
      <c r="AN1450" s="47"/>
      <c r="AO1450" s="47"/>
      <c r="AP1450" s="47"/>
      <c r="AQ1450" s="47"/>
      <c r="AR1450" s="47"/>
      <c r="AS1450" s="47"/>
      <c r="AT1450" s="47"/>
      <c r="AU1450" s="47"/>
      <c r="AV1450" s="47"/>
    </row>
    <row r="1451" spans="1:48" s="27" customFormat="1" ht="16.5" customHeight="1">
      <c r="A1451" s="12"/>
      <c r="B1451" s="97" t="s">
        <v>6</v>
      </c>
      <c r="C1451" s="15" t="s">
        <v>7</v>
      </c>
      <c r="D1451" s="51"/>
      <c r="E1451" s="51"/>
      <c r="F1451" s="51">
        <v>2</v>
      </c>
      <c r="G1451" s="51">
        <v>1</v>
      </c>
      <c r="H1451" s="51">
        <v>1</v>
      </c>
      <c r="I1451" s="51">
        <v>1</v>
      </c>
      <c r="J1451" s="51">
        <v>1</v>
      </c>
      <c r="K1451" s="51">
        <v>1</v>
      </c>
      <c r="L1451" s="40">
        <v>1</v>
      </c>
      <c r="M1451" s="40">
        <v>1</v>
      </c>
      <c r="N1451" s="40" t="s">
        <v>556</v>
      </c>
      <c r="O1451" s="40" t="s">
        <v>556</v>
      </c>
      <c r="P1451" s="40" t="s">
        <v>556</v>
      </c>
      <c r="Q1451" s="30"/>
      <c r="R1451" s="30"/>
      <c r="S1451" s="30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</row>
    <row r="1452" spans="1:48" s="27" customFormat="1" ht="16.5" customHeight="1">
      <c r="A1452" s="12"/>
      <c r="B1452" s="97" t="s">
        <v>566</v>
      </c>
      <c r="C1452" s="15" t="s">
        <v>567</v>
      </c>
      <c r="D1452" s="51"/>
      <c r="E1452" s="51"/>
      <c r="F1452" s="51"/>
      <c r="G1452" s="51"/>
      <c r="H1452" s="51"/>
      <c r="I1452" s="51"/>
      <c r="J1452" s="51"/>
      <c r="K1452" s="51"/>
      <c r="L1452" s="40" t="s">
        <v>556</v>
      </c>
      <c r="M1452" s="40">
        <v>1</v>
      </c>
      <c r="N1452" s="40" t="s">
        <v>556</v>
      </c>
      <c r="O1452" s="40" t="s">
        <v>556</v>
      </c>
      <c r="P1452" s="40" t="s">
        <v>556</v>
      </c>
      <c r="Q1452" s="30"/>
      <c r="R1452" s="30"/>
      <c r="S1452" s="30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</row>
    <row r="1453" spans="1:48" s="27" customFormat="1" ht="16.5" customHeight="1">
      <c r="A1453" s="12"/>
      <c r="B1453" s="93" t="s">
        <v>37</v>
      </c>
      <c r="C1453" s="15"/>
      <c r="D1453" s="51"/>
      <c r="E1453" s="51"/>
      <c r="F1453" s="51"/>
      <c r="G1453" s="51"/>
      <c r="H1453" s="51"/>
      <c r="I1453" s="51"/>
      <c r="J1453" s="51"/>
      <c r="K1453" s="51"/>
      <c r="L1453" s="60">
        <f>SUM(L1454:L1456)</f>
        <v>1</v>
      </c>
      <c r="M1453" s="60">
        <f>SUM(M1454:M1456)</f>
        <v>3</v>
      </c>
      <c r="N1453" s="60" t="s">
        <v>556</v>
      </c>
      <c r="O1453" s="60" t="s">
        <v>556</v>
      </c>
      <c r="P1453" s="60" t="s">
        <v>556</v>
      </c>
      <c r="Q1453" s="30"/>
      <c r="R1453" s="30"/>
      <c r="S1453" s="30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</row>
    <row r="1454" spans="1:48" s="27" customFormat="1" ht="16.5" customHeight="1">
      <c r="A1454" s="12"/>
      <c r="B1454" s="97" t="s">
        <v>38</v>
      </c>
      <c r="C1454" s="66" t="s">
        <v>457</v>
      </c>
      <c r="D1454" s="51"/>
      <c r="E1454" s="51"/>
      <c r="F1454" s="51"/>
      <c r="G1454" s="51"/>
      <c r="H1454" s="51"/>
      <c r="I1454" s="51"/>
      <c r="J1454" s="51"/>
      <c r="K1454" s="51"/>
      <c r="L1454" s="40">
        <v>1</v>
      </c>
      <c r="M1454" s="40">
        <v>1</v>
      </c>
      <c r="N1454" s="40" t="s">
        <v>556</v>
      </c>
      <c r="O1454" s="40" t="s">
        <v>556</v>
      </c>
      <c r="P1454" s="40" t="s">
        <v>556</v>
      </c>
      <c r="Q1454" s="30"/>
      <c r="R1454" s="30"/>
      <c r="S1454" s="30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</row>
    <row r="1455" spans="1:48" s="27" customFormat="1" ht="34.5" customHeight="1">
      <c r="A1455" s="12"/>
      <c r="B1455" s="106" t="s">
        <v>106</v>
      </c>
      <c r="C1455" s="15" t="s">
        <v>107</v>
      </c>
      <c r="D1455" s="51"/>
      <c r="E1455" s="51"/>
      <c r="F1455" s="51"/>
      <c r="G1455" s="51"/>
      <c r="H1455" s="51"/>
      <c r="I1455" s="51"/>
      <c r="J1455" s="51"/>
      <c r="K1455" s="51"/>
      <c r="L1455" s="40" t="s">
        <v>556</v>
      </c>
      <c r="M1455" s="40">
        <v>1</v>
      </c>
      <c r="N1455" s="40" t="s">
        <v>556</v>
      </c>
      <c r="O1455" s="40" t="s">
        <v>556</v>
      </c>
      <c r="P1455" s="40" t="s">
        <v>556</v>
      </c>
      <c r="Q1455" s="30"/>
      <c r="R1455" s="30"/>
      <c r="S1455" s="30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</row>
    <row r="1456" spans="1:48" s="27" customFormat="1" ht="16.5" customHeight="1">
      <c r="A1456" s="12"/>
      <c r="B1456" s="111" t="s">
        <v>862</v>
      </c>
      <c r="C1456" s="15" t="s">
        <v>863</v>
      </c>
      <c r="D1456" s="51"/>
      <c r="E1456" s="51"/>
      <c r="F1456" s="51"/>
      <c r="G1456" s="51"/>
      <c r="H1456" s="51"/>
      <c r="I1456" s="51"/>
      <c r="J1456" s="51"/>
      <c r="K1456" s="51"/>
      <c r="L1456" s="40" t="s">
        <v>556</v>
      </c>
      <c r="M1456" s="40">
        <v>1</v>
      </c>
      <c r="N1456" s="40" t="s">
        <v>556</v>
      </c>
      <c r="O1456" s="40" t="s">
        <v>556</v>
      </c>
      <c r="P1456" s="40" t="s">
        <v>556</v>
      </c>
      <c r="Q1456" s="30"/>
      <c r="R1456" s="30"/>
      <c r="S1456" s="30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</row>
    <row r="1457" spans="1:19" ht="15" customHeight="1">
      <c r="A1457" s="399" t="s">
        <v>659</v>
      </c>
      <c r="B1457" s="399"/>
      <c r="C1457" s="399"/>
      <c r="D1457" s="399"/>
      <c r="E1457" s="399"/>
      <c r="F1457" s="399"/>
      <c r="G1457" s="399"/>
      <c r="H1457" s="399"/>
      <c r="I1457" s="399"/>
      <c r="J1457" s="399"/>
      <c r="K1457" s="399"/>
      <c r="L1457" s="399"/>
      <c r="M1457" s="399"/>
      <c r="N1457" s="399"/>
      <c r="O1457" s="399"/>
      <c r="P1457" s="399"/>
      <c r="Q1457" s="20"/>
      <c r="R1457" s="20"/>
      <c r="S1457" s="7"/>
    </row>
    <row r="1458" spans="1:19" ht="13.5" customHeight="1">
      <c r="A1458" s="400" t="s">
        <v>909</v>
      </c>
      <c r="B1458" s="400"/>
      <c r="C1458" s="400"/>
      <c r="D1458" s="400"/>
      <c r="E1458" s="400"/>
      <c r="F1458" s="400"/>
      <c r="G1458" s="400"/>
      <c r="H1458" s="400"/>
      <c r="I1458" s="400"/>
      <c r="J1458" s="400"/>
      <c r="K1458" s="400"/>
      <c r="L1458" s="400"/>
      <c r="M1458" s="400"/>
      <c r="N1458" s="400"/>
      <c r="O1458" s="400"/>
      <c r="P1458" s="400"/>
      <c r="Q1458" s="21"/>
      <c r="R1458" s="21"/>
      <c r="S1458" s="8"/>
    </row>
    <row r="1459" spans="1:188" s="57" customFormat="1" ht="17.25" customHeight="1">
      <c r="A1459" s="13">
        <v>83</v>
      </c>
      <c r="B1459" s="92" t="s">
        <v>777</v>
      </c>
      <c r="C1459" s="45"/>
      <c r="D1459" s="44">
        <v>26</v>
      </c>
      <c r="E1459" s="44">
        <v>3</v>
      </c>
      <c r="F1459" s="44"/>
      <c r="G1459" s="44">
        <v>28</v>
      </c>
      <c r="H1459" s="44">
        <v>28</v>
      </c>
      <c r="I1459" s="44">
        <v>28</v>
      </c>
      <c r="J1459" s="44">
        <v>28</v>
      </c>
      <c r="K1459" s="44">
        <v>28</v>
      </c>
      <c r="L1459" s="44">
        <f>L1460</f>
        <v>2</v>
      </c>
      <c r="M1459" s="44">
        <f>M1460</f>
        <v>2</v>
      </c>
      <c r="N1459" s="44"/>
      <c r="O1459" s="44">
        <f>O1460</f>
        <v>2</v>
      </c>
      <c r="P1459" s="44">
        <f>P1460</f>
        <v>1</v>
      </c>
      <c r="Q1459" s="54" t="s">
        <v>649</v>
      </c>
      <c r="R1459" s="54">
        <v>7</v>
      </c>
      <c r="S1459" s="55" t="s">
        <v>419</v>
      </c>
      <c r="T1459" s="56"/>
      <c r="U1459" s="56"/>
      <c r="V1459" s="56"/>
      <c r="W1459" s="56"/>
      <c r="X1459" s="56"/>
      <c r="Y1459" s="56"/>
      <c r="Z1459" s="56"/>
      <c r="AA1459" s="56"/>
      <c r="AB1459" s="56"/>
      <c r="AC1459" s="56"/>
      <c r="AD1459" s="56"/>
      <c r="AE1459" s="56"/>
      <c r="AF1459" s="56"/>
      <c r="AG1459" s="56"/>
      <c r="AH1459" s="56"/>
      <c r="AI1459" s="56"/>
      <c r="AJ1459" s="56"/>
      <c r="AK1459" s="56"/>
      <c r="AL1459" s="56"/>
      <c r="AM1459" s="56"/>
      <c r="AN1459" s="56"/>
      <c r="AO1459" s="56"/>
      <c r="AP1459" s="56"/>
      <c r="AQ1459" s="56"/>
      <c r="AR1459" s="56"/>
      <c r="AS1459" s="56"/>
      <c r="AT1459" s="56"/>
      <c r="AU1459" s="56"/>
      <c r="AV1459" s="56"/>
      <c r="AW1459" s="56"/>
      <c r="AX1459" s="56"/>
      <c r="AY1459" s="56"/>
      <c r="AZ1459" s="56"/>
      <c r="BA1459" s="56"/>
      <c r="BB1459" s="56"/>
      <c r="BC1459" s="56"/>
      <c r="BD1459" s="56"/>
      <c r="BE1459" s="56"/>
      <c r="BF1459" s="56"/>
      <c r="BG1459" s="56"/>
      <c r="BH1459" s="56"/>
      <c r="BI1459" s="56"/>
      <c r="BJ1459" s="56"/>
      <c r="BK1459" s="56"/>
      <c r="BL1459" s="56"/>
      <c r="BM1459" s="56"/>
      <c r="BN1459" s="56"/>
      <c r="BO1459" s="56"/>
      <c r="BP1459" s="56"/>
      <c r="BQ1459" s="56"/>
      <c r="BR1459" s="56"/>
      <c r="BS1459" s="56"/>
      <c r="BT1459" s="56"/>
      <c r="BU1459" s="56"/>
      <c r="BV1459" s="56"/>
      <c r="BW1459" s="56"/>
      <c r="BX1459" s="56"/>
      <c r="BY1459" s="56"/>
      <c r="BZ1459" s="56"/>
      <c r="CA1459" s="56"/>
      <c r="CB1459" s="56"/>
      <c r="CC1459" s="56"/>
      <c r="CD1459" s="56"/>
      <c r="CE1459" s="56"/>
      <c r="CF1459" s="56"/>
      <c r="CG1459" s="56"/>
      <c r="CH1459" s="56"/>
      <c r="CI1459" s="56"/>
      <c r="CJ1459" s="56"/>
      <c r="CK1459" s="56"/>
      <c r="CL1459" s="56"/>
      <c r="CM1459" s="56"/>
      <c r="CN1459" s="56"/>
      <c r="CO1459" s="56"/>
      <c r="CP1459" s="56"/>
      <c r="CQ1459" s="56"/>
      <c r="CR1459" s="56"/>
      <c r="CS1459" s="56"/>
      <c r="CT1459" s="56"/>
      <c r="CU1459" s="56"/>
      <c r="CV1459" s="56"/>
      <c r="CW1459" s="56"/>
      <c r="CX1459" s="56"/>
      <c r="CY1459" s="56"/>
      <c r="CZ1459" s="56"/>
      <c r="DA1459" s="56"/>
      <c r="DB1459" s="56"/>
      <c r="DC1459" s="56"/>
      <c r="DD1459" s="56"/>
      <c r="DE1459" s="56"/>
      <c r="DF1459" s="56"/>
      <c r="DG1459" s="56"/>
      <c r="DH1459" s="56"/>
      <c r="DI1459" s="56"/>
      <c r="DJ1459" s="56"/>
      <c r="DK1459" s="56"/>
      <c r="DL1459" s="56"/>
      <c r="DM1459" s="56"/>
      <c r="DN1459" s="56"/>
      <c r="DO1459" s="56"/>
      <c r="DP1459" s="56"/>
      <c r="DQ1459" s="56"/>
      <c r="DR1459" s="56"/>
      <c r="DS1459" s="56"/>
      <c r="DT1459" s="56"/>
      <c r="DU1459" s="56"/>
      <c r="DV1459" s="56"/>
      <c r="DW1459" s="56"/>
      <c r="DX1459" s="56"/>
      <c r="DY1459" s="56"/>
      <c r="DZ1459" s="56"/>
      <c r="EA1459" s="56"/>
      <c r="EB1459" s="56"/>
      <c r="EC1459" s="56"/>
      <c r="ED1459" s="56"/>
      <c r="EE1459" s="56"/>
      <c r="EF1459" s="56"/>
      <c r="EG1459" s="56"/>
      <c r="EH1459" s="56"/>
      <c r="EI1459" s="56"/>
      <c r="EJ1459" s="56"/>
      <c r="EK1459" s="56"/>
      <c r="EL1459" s="56"/>
      <c r="EM1459" s="56"/>
      <c r="EN1459" s="56"/>
      <c r="EO1459" s="56"/>
      <c r="EP1459" s="56"/>
      <c r="EQ1459" s="56"/>
      <c r="ER1459" s="56"/>
      <c r="ES1459" s="56"/>
      <c r="ET1459" s="56"/>
      <c r="EU1459" s="56"/>
      <c r="EV1459" s="56"/>
      <c r="EW1459" s="56"/>
      <c r="EX1459" s="56"/>
      <c r="EY1459" s="56"/>
      <c r="EZ1459" s="56"/>
      <c r="FA1459" s="56"/>
      <c r="FB1459" s="56"/>
      <c r="FC1459" s="56"/>
      <c r="FD1459" s="56"/>
      <c r="FE1459" s="56"/>
      <c r="FF1459" s="56"/>
      <c r="FG1459" s="56"/>
      <c r="FH1459" s="56"/>
      <c r="FI1459" s="56"/>
      <c r="FJ1459" s="56"/>
      <c r="FK1459" s="56"/>
      <c r="FL1459" s="56"/>
      <c r="FM1459" s="56"/>
      <c r="FN1459" s="56"/>
      <c r="FO1459" s="56"/>
      <c r="FP1459" s="56"/>
      <c r="FQ1459" s="56"/>
      <c r="FR1459" s="56"/>
      <c r="FS1459" s="56"/>
      <c r="FT1459" s="56"/>
      <c r="FU1459" s="56"/>
      <c r="FV1459" s="56"/>
      <c r="FW1459" s="56"/>
      <c r="FX1459" s="56"/>
      <c r="FY1459" s="56"/>
      <c r="FZ1459" s="56"/>
      <c r="GA1459" s="56"/>
      <c r="GB1459" s="56"/>
      <c r="GC1459" s="56"/>
      <c r="GD1459" s="56"/>
      <c r="GE1459" s="56"/>
      <c r="GF1459" s="56"/>
    </row>
    <row r="1460" spans="1:48" s="18" customFormat="1" ht="17.25" customHeight="1">
      <c r="A1460" s="50"/>
      <c r="B1460" s="93" t="s">
        <v>669</v>
      </c>
      <c r="C1460" s="16"/>
      <c r="D1460" s="52"/>
      <c r="E1460" s="52"/>
      <c r="F1460" s="52"/>
      <c r="G1460" s="52"/>
      <c r="H1460" s="52"/>
      <c r="I1460" s="52"/>
      <c r="J1460" s="52"/>
      <c r="K1460" s="52"/>
      <c r="L1460" s="60">
        <v>2</v>
      </c>
      <c r="M1460" s="60">
        <v>2</v>
      </c>
      <c r="N1460" s="60"/>
      <c r="O1460" s="60">
        <v>2</v>
      </c>
      <c r="P1460" s="60">
        <v>1</v>
      </c>
      <c r="Q1460" s="23"/>
      <c r="R1460" s="23"/>
      <c r="S1460" s="17"/>
      <c r="T1460" s="47"/>
      <c r="U1460" s="47"/>
      <c r="V1460" s="47"/>
      <c r="W1460" s="47"/>
      <c r="X1460" s="47"/>
      <c r="Y1460" s="47"/>
      <c r="Z1460" s="47"/>
      <c r="AA1460" s="47"/>
      <c r="AB1460" s="47"/>
      <c r="AC1460" s="47"/>
      <c r="AD1460" s="47"/>
      <c r="AE1460" s="47"/>
      <c r="AF1460" s="47"/>
      <c r="AG1460" s="47"/>
      <c r="AH1460" s="47"/>
      <c r="AI1460" s="47"/>
      <c r="AJ1460" s="47"/>
      <c r="AK1460" s="47"/>
      <c r="AL1460" s="47"/>
      <c r="AM1460" s="47"/>
      <c r="AN1460" s="47"/>
      <c r="AO1460" s="47"/>
      <c r="AP1460" s="47"/>
      <c r="AQ1460" s="47"/>
      <c r="AR1460" s="47"/>
      <c r="AS1460" s="47"/>
      <c r="AT1460" s="47"/>
      <c r="AU1460" s="47"/>
      <c r="AV1460" s="47"/>
    </row>
    <row r="1461" spans="1:48" s="27" customFormat="1" ht="17.25" customHeight="1">
      <c r="A1461" s="12"/>
      <c r="B1461" s="97" t="s">
        <v>460</v>
      </c>
      <c r="C1461" s="29" t="s">
        <v>544</v>
      </c>
      <c r="D1461" s="40"/>
      <c r="E1461" s="40"/>
      <c r="F1461" s="40"/>
      <c r="G1461" s="40">
        <v>9</v>
      </c>
      <c r="H1461" s="40">
        <v>9</v>
      </c>
      <c r="I1461" s="40">
        <v>9</v>
      </c>
      <c r="J1461" s="40">
        <v>9</v>
      </c>
      <c r="K1461" s="40">
        <v>9</v>
      </c>
      <c r="L1461" s="40" t="s">
        <v>556</v>
      </c>
      <c r="M1461" s="40" t="s">
        <v>556</v>
      </c>
      <c r="N1461" s="40">
        <v>3</v>
      </c>
      <c r="O1461" s="40" t="s">
        <v>556</v>
      </c>
      <c r="P1461" s="40">
        <v>4</v>
      </c>
      <c r="Q1461" s="30"/>
      <c r="R1461" s="30"/>
      <c r="S1461" s="30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</row>
    <row r="1462" spans="1:48" s="27" customFormat="1" ht="17.25" customHeight="1">
      <c r="A1462" s="12"/>
      <c r="B1462" s="105" t="s">
        <v>560</v>
      </c>
      <c r="C1462" s="15" t="s">
        <v>1319</v>
      </c>
      <c r="D1462" s="40"/>
      <c r="E1462" s="40"/>
      <c r="F1462" s="40"/>
      <c r="G1462" s="40">
        <v>2</v>
      </c>
      <c r="H1462" s="40">
        <v>2</v>
      </c>
      <c r="I1462" s="40">
        <v>2</v>
      </c>
      <c r="J1462" s="40">
        <v>2</v>
      </c>
      <c r="K1462" s="40">
        <v>2</v>
      </c>
      <c r="L1462" s="40">
        <v>1</v>
      </c>
      <c r="M1462" s="40" t="s">
        <v>556</v>
      </c>
      <c r="N1462" s="40" t="s">
        <v>556</v>
      </c>
      <c r="O1462" s="40" t="s">
        <v>556</v>
      </c>
      <c r="P1462" s="40" t="s">
        <v>556</v>
      </c>
      <c r="Q1462" s="30"/>
      <c r="R1462" s="30"/>
      <c r="S1462" s="30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</row>
    <row r="1463" spans="1:48" s="18" customFormat="1" ht="17.25" customHeight="1">
      <c r="A1463" s="50"/>
      <c r="B1463" s="93" t="s">
        <v>670</v>
      </c>
      <c r="C1463" s="16"/>
      <c r="D1463" s="52"/>
      <c r="E1463" s="51"/>
      <c r="F1463" s="52"/>
      <c r="G1463" s="52"/>
      <c r="H1463" s="52"/>
      <c r="I1463" s="52"/>
      <c r="J1463" s="52"/>
      <c r="K1463" s="52"/>
      <c r="L1463" s="40">
        <v>1</v>
      </c>
      <c r="M1463" s="40">
        <v>3</v>
      </c>
      <c r="N1463" s="40"/>
      <c r="O1463" s="40">
        <v>1</v>
      </c>
      <c r="P1463" s="40" t="s">
        <v>556</v>
      </c>
      <c r="Q1463" s="23"/>
      <c r="R1463" s="23"/>
      <c r="S1463" s="17"/>
      <c r="T1463" s="47"/>
      <c r="U1463" s="47"/>
      <c r="V1463" s="47"/>
      <c r="W1463" s="47"/>
      <c r="X1463" s="47"/>
      <c r="Y1463" s="47"/>
      <c r="Z1463" s="47"/>
      <c r="AA1463" s="47"/>
      <c r="AB1463" s="47"/>
      <c r="AC1463" s="47"/>
      <c r="AD1463" s="47"/>
      <c r="AE1463" s="47"/>
      <c r="AF1463" s="47"/>
      <c r="AG1463" s="47"/>
      <c r="AH1463" s="47"/>
      <c r="AI1463" s="47"/>
      <c r="AJ1463" s="47"/>
      <c r="AK1463" s="47"/>
      <c r="AL1463" s="47"/>
      <c r="AM1463" s="47"/>
      <c r="AN1463" s="47"/>
      <c r="AO1463" s="47"/>
      <c r="AP1463" s="47"/>
      <c r="AQ1463" s="47"/>
      <c r="AR1463" s="47"/>
      <c r="AS1463" s="47"/>
      <c r="AT1463" s="47"/>
      <c r="AU1463" s="47"/>
      <c r="AV1463" s="47"/>
    </row>
    <row r="1464" spans="1:48" s="27" customFormat="1" ht="17.25" customHeight="1">
      <c r="A1464" s="12"/>
      <c r="B1464" s="97" t="s">
        <v>860</v>
      </c>
      <c r="C1464" s="15" t="s">
        <v>861</v>
      </c>
      <c r="D1464" s="51"/>
      <c r="E1464" s="51"/>
      <c r="F1464" s="51">
        <v>1</v>
      </c>
      <c r="G1464" s="51">
        <v>2</v>
      </c>
      <c r="H1464" s="51">
        <v>2</v>
      </c>
      <c r="I1464" s="51">
        <v>2</v>
      </c>
      <c r="J1464" s="51">
        <v>2</v>
      </c>
      <c r="K1464" s="51">
        <v>2</v>
      </c>
      <c r="L1464" s="40">
        <v>1</v>
      </c>
      <c r="M1464" s="40">
        <v>1</v>
      </c>
      <c r="N1464" s="40" t="s">
        <v>556</v>
      </c>
      <c r="O1464" s="40" t="s">
        <v>556</v>
      </c>
      <c r="P1464" s="40" t="s">
        <v>556</v>
      </c>
      <c r="Q1464" s="33"/>
      <c r="R1464" s="33"/>
      <c r="S1464" s="33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</row>
    <row r="1465" spans="1:48" s="27" customFormat="1" ht="17.25" customHeight="1">
      <c r="A1465" s="12"/>
      <c r="B1465" s="97" t="s">
        <v>561</v>
      </c>
      <c r="C1465" s="66" t="s">
        <v>804</v>
      </c>
      <c r="D1465" s="51"/>
      <c r="E1465" s="51"/>
      <c r="F1465" s="51"/>
      <c r="G1465" s="51">
        <v>3</v>
      </c>
      <c r="H1465" s="51">
        <v>3</v>
      </c>
      <c r="I1465" s="51">
        <v>3</v>
      </c>
      <c r="J1465" s="51">
        <v>3</v>
      </c>
      <c r="K1465" s="51">
        <v>3</v>
      </c>
      <c r="L1465" s="40" t="s">
        <v>556</v>
      </c>
      <c r="M1465" s="40">
        <v>1</v>
      </c>
      <c r="N1465" s="40">
        <v>1</v>
      </c>
      <c r="O1465" s="40">
        <v>1</v>
      </c>
      <c r="P1465" s="40" t="s">
        <v>556</v>
      </c>
      <c r="Q1465" s="30"/>
      <c r="R1465" s="30"/>
      <c r="S1465" s="30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</row>
    <row r="1466" spans="1:48" s="27" customFormat="1" ht="17.25" customHeight="1">
      <c r="A1466" s="12"/>
      <c r="B1466" s="97" t="s">
        <v>566</v>
      </c>
      <c r="C1466" s="15" t="s">
        <v>567</v>
      </c>
      <c r="D1466" s="51"/>
      <c r="E1466" s="51"/>
      <c r="F1466" s="51"/>
      <c r="G1466" s="51">
        <v>1</v>
      </c>
      <c r="H1466" s="51">
        <v>1</v>
      </c>
      <c r="I1466" s="51">
        <v>1</v>
      </c>
      <c r="J1466" s="51">
        <v>1</v>
      </c>
      <c r="K1466" s="51">
        <v>1</v>
      </c>
      <c r="L1466" s="40" t="s">
        <v>556</v>
      </c>
      <c r="M1466" s="40" t="s">
        <v>556</v>
      </c>
      <c r="N1466" s="40" t="s">
        <v>121</v>
      </c>
      <c r="O1466" s="40">
        <v>1</v>
      </c>
      <c r="P1466" s="40" t="s">
        <v>556</v>
      </c>
      <c r="Q1466" s="30"/>
      <c r="R1466" s="30"/>
      <c r="S1466" s="30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</row>
    <row r="1467" spans="1:188" s="57" customFormat="1" ht="17.25" customHeight="1">
      <c r="A1467" s="13">
        <v>84</v>
      </c>
      <c r="B1467" s="92" t="s">
        <v>308</v>
      </c>
      <c r="C1467" s="45"/>
      <c r="D1467" s="44">
        <v>46</v>
      </c>
      <c r="E1467" s="44">
        <v>13</v>
      </c>
      <c r="F1467" s="44"/>
      <c r="G1467" s="44">
        <v>47</v>
      </c>
      <c r="H1467" s="44">
        <v>48</v>
      </c>
      <c r="I1467" s="44">
        <v>48</v>
      </c>
      <c r="J1467" s="44">
        <v>47</v>
      </c>
      <c r="K1467" s="44">
        <v>47</v>
      </c>
      <c r="L1467" s="44">
        <f>L1468</f>
        <v>4</v>
      </c>
      <c r="M1467" s="44">
        <f>M1468</f>
        <v>4</v>
      </c>
      <c r="N1467" s="44" t="str">
        <f>N1468</f>
        <v> -</v>
      </c>
      <c r="O1467" s="44">
        <v>3</v>
      </c>
      <c r="P1467" s="44">
        <f>P1468</f>
        <v>1</v>
      </c>
      <c r="Q1467" s="54" t="s">
        <v>649</v>
      </c>
      <c r="R1467" s="54">
        <v>8</v>
      </c>
      <c r="S1467" s="55" t="s">
        <v>536</v>
      </c>
      <c r="T1467" s="56"/>
      <c r="U1467" s="56"/>
      <c r="V1467" s="56"/>
      <c r="W1467" s="56"/>
      <c r="X1467" s="56"/>
      <c r="Y1467" s="56"/>
      <c r="Z1467" s="56"/>
      <c r="AA1467" s="56"/>
      <c r="AB1467" s="56"/>
      <c r="AC1467" s="56"/>
      <c r="AD1467" s="56"/>
      <c r="AE1467" s="56"/>
      <c r="AF1467" s="56"/>
      <c r="AG1467" s="56"/>
      <c r="AH1467" s="56"/>
      <c r="AI1467" s="56"/>
      <c r="AJ1467" s="56"/>
      <c r="AK1467" s="56"/>
      <c r="AL1467" s="56"/>
      <c r="AM1467" s="56"/>
      <c r="AN1467" s="56"/>
      <c r="AO1467" s="56"/>
      <c r="AP1467" s="56"/>
      <c r="AQ1467" s="56"/>
      <c r="AR1467" s="56"/>
      <c r="AS1467" s="56"/>
      <c r="AT1467" s="56"/>
      <c r="AU1467" s="56"/>
      <c r="AV1467" s="56"/>
      <c r="AW1467" s="56"/>
      <c r="AX1467" s="56"/>
      <c r="AY1467" s="56"/>
      <c r="AZ1467" s="56"/>
      <c r="BA1467" s="56"/>
      <c r="BB1467" s="56"/>
      <c r="BC1467" s="56"/>
      <c r="BD1467" s="56"/>
      <c r="BE1467" s="56"/>
      <c r="BF1467" s="56"/>
      <c r="BG1467" s="56"/>
      <c r="BH1467" s="56"/>
      <c r="BI1467" s="56"/>
      <c r="BJ1467" s="56"/>
      <c r="BK1467" s="56"/>
      <c r="BL1467" s="56"/>
      <c r="BM1467" s="56"/>
      <c r="BN1467" s="56"/>
      <c r="BO1467" s="56"/>
      <c r="BP1467" s="56"/>
      <c r="BQ1467" s="56"/>
      <c r="BR1467" s="56"/>
      <c r="BS1467" s="56"/>
      <c r="BT1467" s="56"/>
      <c r="BU1467" s="56"/>
      <c r="BV1467" s="56"/>
      <c r="BW1467" s="56"/>
      <c r="BX1467" s="56"/>
      <c r="BY1467" s="56"/>
      <c r="BZ1467" s="56"/>
      <c r="CA1467" s="56"/>
      <c r="CB1467" s="56"/>
      <c r="CC1467" s="56"/>
      <c r="CD1467" s="56"/>
      <c r="CE1467" s="56"/>
      <c r="CF1467" s="56"/>
      <c r="CG1467" s="56"/>
      <c r="CH1467" s="56"/>
      <c r="CI1467" s="56"/>
      <c r="CJ1467" s="56"/>
      <c r="CK1467" s="56"/>
      <c r="CL1467" s="56"/>
      <c r="CM1467" s="56"/>
      <c r="CN1467" s="56"/>
      <c r="CO1467" s="56"/>
      <c r="CP1467" s="56"/>
      <c r="CQ1467" s="56"/>
      <c r="CR1467" s="56"/>
      <c r="CS1467" s="56"/>
      <c r="CT1467" s="56"/>
      <c r="CU1467" s="56"/>
      <c r="CV1467" s="56"/>
      <c r="CW1467" s="56"/>
      <c r="CX1467" s="56"/>
      <c r="CY1467" s="56"/>
      <c r="CZ1467" s="56"/>
      <c r="DA1467" s="56"/>
      <c r="DB1467" s="56"/>
      <c r="DC1467" s="56"/>
      <c r="DD1467" s="56"/>
      <c r="DE1467" s="56"/>
      <c r="DF1467" s="56"/>
      <c r="DG1467" s="56"/>
      <c r="DH1467" s="56"/>
      <c r="DI1467" s="56"/>
      <c r="DJ1467" s="56"/>
      <c r="DK1467" s="56"/>
      <c r="DL1467" s="56"/>
      <c r="DM1467" s="56"/>
      <c r="DN1467" s="56"/>
      <c r="DO1467" s="56"/>
      <c r="DP1467" s="56"/>
      <c r="DQ1467" s="56"/>
      <c r="DR1467" s="56"/>
      <c r="DS1467" s="56"/>
      <c r="DT1467" s="56"/>
      <c r="DU1467" s="56"/>
      <c r="DV1467" s="56"/>
      <c r="DW1467" s="56"/>
      <c r="DX1467" s="56"/>
      <c r="DY1467" s="56"/>
      <c r="DZ1467" s="56"/>
      <c r="EA1467" s="56"/>
      <c r="EB1467" s="56"/>
      <c r="EC1467" s="56"/>
      <c r="ED1467" s="56"/>
      <c r="EE1467" s="56"/>
      <c r="EF1467" s="56"/>
      <c r="EG1467" s="56"/>
      <c r="EH1467" s="56"/>
      <c r="EI1467" s="56"/>
      <c r="EJ1467" s="56"/>
      <c r="EK1467" s="56"/>
      <c r="EL1467" s="56"/>
      <c r="EM1467" s="56"/>
      <c r="EN1467" s="56"/>
      <c r="EO1467" s="56"/>
      <c r="EP1467" s="56"/>
      <c r="EQ1467" s="56"/>
      <c r="ER1467" s="56"/>
      <c r="ES1467" s="56"/>
      <c r="ET1467" s="56"/>
      <c r="EU1467" s="56"/>
      <c r="EV1467" s="56"/>
      <c r="EW1467" s="56"/>
      <c r="EX1467" s="56"/>
      <c r="EY1467" s="56"/>
      <c r="EZ1467" s="56"/>
      <c r="FA1467" s="56"/>
      <c r="FB1467" s="56"/>
      <c r="FC1467" s="56"/>
      <c r="FD1467" s="56"/>
      <c r="FE1467" s="56"/>
      <c r="FF1467" s="56"/>
      <c r="FG1467" s="56"/>
      <c r="FH1467" s="56"/>
      <c r="FI1467" s="56"/>
      <c r="FJ1467" s="56"/>
      <c r="FK1467" s="56"/>
      <c r="FL1467" s="56"/>
      <c r="FM1467" s="56"/>
      <c r="FN1467" s="56"/>
      <c r="FO1467" s="56"/>
      <c r="FP1467" s="56"/>
      <c r="FQ1467" s="56"/>
      <c r="FR1467" s="56"/>
      <c r="FS1467" s="56"/>
      <c r="FT1467" s="56"/>
      <c r="FU1467" s="56"/>
      <c r="FV1467" s="56"/>
      <c r="FW1467" s="56"/>
      <c r="FX1467" s="56"/>
      <c r="FY1467" s="56"/>
      <c r="FZ1467" s="56"/>
      <c r="GA1467" s="56"/>
      <c r="GB1467" s="56"/>
      <c r="GC1467" s="56"/>
      <c r="GD1467" s="56"/>
      <c r="GE1467" s="56"/>
      <c r="GF1467" s="56"/>
    </row>
    <row r="1468" spans="1:48" s="18" customFormat="1" ht="17.25" customHeight="1">
      <c r="A1468" s="50"/>
      <c r="B1468" s="93" t="s">
        <v>669</v>
      </c>
      <c r="C1468" s="16"/>
      <c r="D1468" s="52"/>
      <c r="E1468" s="52"/>
      <c r="F1468" s="52"/>
      <c r="G1468" s="52"/>
      <c r="H1468" s="52"/>
      <c r="I1468" s="52"/>
      <c r="J1468" s="52"/>
      <c r="K1468" s="52"/>
      <c r="L1468" s="60">
        <f>SUM(L1469:L1474)</f>
        <v>4</v>
      </c>
      <c r="M1468" s="60">
        <f>SUM(M1469:M1474)</f>
        <v>4</v>
      </c>
      <c r="N1468" s="60" t="s">
        <v>556</v>
      </c>
      <c r="O1468" s="60">
        <f>SUM(O1469:O1474)</f>
        <v>2</v>
      </c>
      <c r="P1468" s="60">
        <f>SUM(P1469:P1474)</f>
        <v>1</v>
      </c>
      <c r="Q1468" s="23"/>
      <c r="R1468" s="23"/>
      <c r="S1468" s="17"/>
      <c r="T1468" s="47"/>
      <c r="U1468" s="47"/>
      <c r="V1468" s="47"/>
      <c r="W1468" s="47"/>
      <c r="X1468" s="47"/>
      <c r="Y1468" s="47"/>
      <c r="Z1468" s="47"/>
      <c r="AA1468" s="47"/>
      <c r="AB1468" s="47"/>
      <c r="AC1468" s="47"/>
      <c r="AD1468" s="47"/>
      <c r="AE1468" s="47"/>
      <c r="AF1468" s="47"/>
      <c r="AG1468" s="47"/>
      <c r="AH1468" s="47"/>
      <c r="AI1468" s="47"/>
      <c r="AJ1468" s="47"/>
      <c r="AK1468" s="47"/>
      <c r="AL1468" s="47"/>
      <c r="AM1468" s="47"/>
      <c r="AN1468" s="47"/>
      <c r="AO1468" s="47"/>
      <c r="AP1468" s="47"/>
      <c r="AQ1468" s="47"/>
      <c r="AR1468" s="47"/>
      <c r="AS1468" s="47"/>
      <c r="AT1468" s="47"/>
      <c r="AU1468" s="47"/>
      <c r="AV1468" s="47"/>
    </row>
    <row r="1469" spans="1:48" s="81" customFormat="1" ht="17.25" customHeight="1">
      <c r="A1469" s="12"/>
      <c r="B1469" s="97" t="s">
        <v>448</v>
      </c>
      <c r="C1469" s="29" t="s">
        <v>449</v>
      </c>
      <c r="D1469" s="51"/>
      <c r="E1469" s="51"/>
      <c r="F1469" s="51">
        <v>16</v>
      </c>
      <c r="G1469" s="51">
        <v>17</v>
      </c>
      <c r="H1469" s="51">
        <v>17</v>
      </c>
      <c r="I1469" s="51">
        <v>17</v>
      </c>
      <c r="J1469" s="51">
        <v>16</v>
      </c>
      <c r="K1469" s="51">
        <v>16</v>
      </c>
      <c r="L1469" s="40" t="s">
        <v>556</v>
      </c>
      <c r="M1469" s="40">
        <v>1</v>
      </c>
      <c r="N1469" s="40" t="s">
        <v>556</v>
      </c>
      <c r="O1469" s="40">
        <v>1</v>
      </c>
      <c r="P1469" s="40" t="s">
        <v>556</v>
      </c>
      <c r="Q1469" s="30"/>
      <c r="R1469" s="30"/>
      <c r="S1469" s="79"/>
      <c r="T1469" s="80"/>
      <c r="U1469" s="80"/>
      <c r="V1469" s="80"/>
      <c r="W1469" s="80"/>
      <c r="X1469" s="80"/>
      <c r="Y1469" s="80"/>
      <c r="Z1469" s="80"/>
      <c r="AA1469" s="80"/>
      <c r="AB1469" s="80"/>
      <c r="AC1469" s="80"/>
      <c r="AD1469" s="80"/>
      <c r="AE1469" s="80"/>
      <c r="AF1469" s="80"/>
      <c r="AG1469" s="80"/>
      <c r="AH1469" s="80"/>
      <c r="AI1469" s="80"/>
      <c r="AJ1469" s="80"/>
      <c r="AK1469" s="80"/>
      <c r="AL1469" s="80"/>
      <c r="AM1469" s="80"/>
      <c r="AN1469" s="80"/>
      <c r="AO1469" s="80"/>
      <c r="AP1469" s="80"/>
      <c r="AQ1469" s="80"/>
      <c r="AR1469" s="80"/>
      <c r="AS1469" s="80"/>
      <c r="AT1469" s="80"/>
      <c r="AU1469" s="80"/>
      <c r="AV1469" s="80"/>
    </row>
    <row r="1470" spans="1:48" s="81" customFormat="1" ht="17.25" customHeight="1">
      <c r="A1470" s="12"/>
      <c r="B1470" s="97" t="s">
        <v>1301</v>
      </c>
      <c r="C1470" s="29" t="s">
        <v>1302</v>
      </c>
      <c r="D1470" s="51"/>
      <c r="E1470" s="51"/>
      <c r="F1470" s="51"/>
      <c r="G1470" s="51">
        <v>14</v>
      </c>
      <c r="H1470" s="51">
        <v>14</v>
      </c>
      <c r="I1470" s="51">
        <v>14</v>
      </c>
      <c r="J1470" s="51">
        <v>14</v>
      </c>
      <c r="K1470" s="51">
        <v>14</v>
      </c>
      <c r="L1470" s="40">
        <v>1</v>
      </c>
      <c r="M1470" s="40">
        <v>2</v>
      </c>
      <c r="N1470" s="40"/>
      <c r="O1470" s="40">
        <v>1</v>
      </c>
      <c r="P1470" s="40"/>
      <c r="Q1470" s="30"/>
      <c r="R1470" s="30"/>
      <c r="S1470" s="79"/>
      <c r="T1470" s="80"/>
      <c r="U1470" s="80"/>
      <c r="V1470" s="80"/>
      <c r="W1470" s="80"/>
      <c r="X1470" s="80"/>
      <c r="Y1470" s="80"/>
      <c r="Z1470" s="80"/>
      <c r="AA1470" s="80"/>
      <c r="AB1470" s="80"/>
      <c r="AC1470" s="80"/>
      <c r="AD1470" s="80"/>
      <c r="AE1470" s="80"/>
      <c r="AF1470" s="80"/>
      <c r="AG1470" s="80"/>
      <c r="AH1470" s="80"/>
      <c r="AI1470" s="80"/>
      <c r="AJ1470" s="80"/>
      <c r="AK1470" s="80"/>
      <c r="AL1470" s="80"/>
      <c r="AM1470" s="80"/>
      <c r="AN1470" s="80"/>
      <c r="AO1470" s="80"/>
      <c r="AP1470" s="80"/>
      <c r="AQ1470" s="80"/>
      <c r="AR1470" s="80"/>
      <c r="AS1470" s="80"/>
      <c r="AT1470" s="80"/>
      <c r="AU1470" s="80"/>
      <c r="AV1470" s="80"/>
    </row>
    <row r="1471" spans="1:48" s="81" customFormat="1" ht="17.25" customHeight="1">
      <c r="A1471" s="12"/>
      <c r="B1471" s="97" t="s">
        <v>560</v>
      </c>
      <c r="C1471" s="29" t="s">
        <v>1319</v>
      </c>
      <c r="D1471" s="51"/>
      <c r="E1471" s="51"/>
      <c r="F1471" s="51">
        <v>3</v>
      </c>
      <c r="G1471" s="51">
        <v>4</v>
      </c>
      <c r="H1471" s="51">
        <v>4</v>
      </c>
      <c r="I1471" s="51">
        <v>4</v>
      </c>
      <c r="J1471" s="51">
        <v>4</v>
      </c>
      <c r="K1471" s="51">
        <v>4</v>
      </c>
      <c r="L1471" s="40">
        <v>1</v>
      </c>
      <c r="M1471" s="40" t="s">
        <v>556</v>
      </c>
      <c r="N1471" s="40" t="s">
        <v>556</v>
      </c>
      <c r="O1471" s="40" t="s">
        <v>556</v>
      </c>
      <c r="P1471" s="40" t="s">
        <v>556</v>
      </c>
      <c r="Q1471" s="30"/>
      <c r="R1471" s="30"/>
      <c r="S1471" s="79"/>
      <c r="T1471" s="80"/>
      <c r="U1471" s="80"/>
      <c r="V1471" s="80"/>
      <c r="W1471" s="80"/>
      <c r="X1471" s="80"/>
      <c r="Y1471" s="80"/>
      <c r="Z1471" s="80"/>
      <c r="AA1471" s="80"/>
      <c r="AB1471" s="80"/>
      <c r="AC1471" s="80"/>
      <c r="AD1471" s="80"/>
      <c r="AE1471" s="80"/>
      <c r="AF1471" s="80"/>
      <c r="AG1471" s="80"/>
      <c r="AH1471" s="80"/>
      <c r="AI1471" s="80"/>
      <c r="AJ1471" s="80"/>
      <c r="AK1471" s="80"/>
      <c r="AL1471" s="80"/>
      <c r="AM1471" s="80"/>
      <c r="AN1471" s="80"/>
      <c r="AO1471" s="80"/>
      <c r="AP1471" s="80"/>
      <c r="AQ1471" s="80"/>
      <c r="AR1471" s="80"/>
      <c r="AS1471" s="80"/>
      <c r="AT1471" s="80"/>
      <c r="AU1471" s="80"/>
      <c r="AV1471" s="80"/>
    </row>
    <row r="1472" spans="1:48" s="81" customFormat="1" ht="17.25" customHeight="1">
      <c r="A1472" s="12"/>
      <c r="B1472" s="97" t="s">
        <v>1343</v>
      </c>
      <c r="C1472" s="29" t="s">
        <v>1344</v>
      </c>
      <c r="D1472" s="51"/>
      <c r="E1472" s="51"/>
      <c r="F1472" s="51"/>
      <c r="G1472" s="51">
        <v>3</v>
      </c>
      <c r="H1472" s="51">
        <v>3</v>
      </c>
      <c r="I1472" s="51">
        <v>3</v>
      </c>
      <c r="J1472" s="51">
        <v>3</v>
      </c>
      <c r="K1472" s="51">
        <v>3</v>
      </c>
      <c r="L1472" s="40">
        <v>2</v>
      </c>
      <c r="M1472" s="40" t="s">
        <v>556</v>
      </c>
      <c r="N1472" s="40" t="s">
        <v>556</v>
      </c>
      <c r="O1472" s="40" t="s">
        <v>556</v>
      </c>
      <c r="P1472" s="40" t="s">
        <v>556</v>
      </c>
      <c r="Q1472" s="30"/>
      <c r="R1472" s="30"/>
      <c r="S1472" s="79"/>
      <c r="T1472" s="80"/>
      <c r="U1472" s="80"/>
      <c r="V1472" s="80"/>
      <c r="W1472" s="80"/>
      <c r="X1472" s="80"/>
      <c r="Y1472" s="80"/>
      <c r="Z1472" s="80"/>
      <c r="AA1472" s="80"/>
      <c r="AB1472" s="80"/>
      <c r="AC1472" s="80"/>
      <c r="AD1472" s="80"/>
      <c r="AE1472" s="80"/>
      <c r="AF1472" s="80"/>
      <c r="AG1472" s="80"/>
      <c r="AH1472" s="80"/>
      <c r="AI1472" s="80"/>
      <c r="AJ1472" s="80"/>
      <c r="AK1472" s="80"/>
      <c r="AL1472" s="80"/>
      <c r="AM1472" s="80"/>
      <c r="AN1472" s="80"/>
      <c r="AO1472" s="80"/>
      <c r="AP1472" s="80"/>
      <c r="AQ1472" s="80"/>
      <c r="AR1472" s="80"/>
      <c r="AS1472" s="80"/>
      <c r="AT1472" s="80"/>
      <c r="AU1472" s="80"/>
      <c r="AV1472" s="80"/>
    </row>
    <row r="1473" spans="1:48" s="81" customFormat="1" ht="17.25" customHeight="1">
      <c r="A1473" s="12"/>
      <c r="B1473" s="97" t="s">
        <v>1051</v>
      </c>
      <c r="C1473" s="29" t="s">
        <v>1052</v>
      </c>
      <c r="D1473" s="51"/>
      <c r="E1473" s="51"/>
      <c r="F1473" s="51"/>
      <c r="G1473" s="51">
        <v>2</v>
      </c>
      <c r="H1473" s="51">
        <v>2</v>
      </c>
      <c r="I1473" s="51">
        <v>2</v>
      </c>
      <c r="J1473" s="51">
        <v>2</v>
      </c>
      <c r="K1473" s="51">
        <v>2</v>
      </c>
      <c r="L1473" s="40" t="s">
        <v>556</v>
      </c>
      <c r="M1473" s="40" t="s">
        <v>556</v>
      </c>
      <c r="N1473" s="40" t="s">
        <v>556</v>
      </c>
      <c r="O1473" s="40" t="s">
        <v>556</v>
      </c>
      <c r="P1473" s="40">
        <v>1</v>
      </c>
      <c r="Q1473" s="30"/>
      <c r="R1473" s="30"/>
      <c r="S1473" s="79"/>
      <c r="T1473" s="80"/>
      <c r="U1473" s="80"/>
      <c r="V1473" s="80"/>
      <c r="W1473" s="80"/>
      <c r="X1473" s="80"/>
      <c r="Y1473" s="80"/>
      <c r="Z1473" s="80"/>
      <c r="AA1473" s="80"/>
      <c r="AB1473" s="80"/>
      <c r="AC1473" s="80"/>
      <c r="AD1473" s="80"/>
      <c r="AE1473" s="80"/>
      <c r="AF1473" s="80"/>
      <c r="AG1473" s="80"/>
      <c r="AH1473" s="80"/>
      <c r="AI1473" s="80"/>
      <c r="AJ1473" s="80"/>
      <c r="AK1473" s="80"/>
      <c r="AL1473" s="80"/>
      <c r="AM1473" s="80"/>
      <c r="AN1473" s="80"/>
      <c r="AO1473" s="80"/>
      <c r="AP1473" s="80"/>
      <c r="AQ1473" s="80"/>
      <c r="AR1473" s="80"/>
      <c r="AS1473" s="80"/>
      <c r="AT1473" s="80"/>
      <c r="AU1473" s="80"/>
      <c r="AV1473" s="80"/>
    </row>
    <row r="1474" spans="1:48" s="27" customFormat="1" ht="17.25" customHeight="1">
      <c r="A1474" s="12"/>
      <c r="B1474" s="97" t="s">
        <v>1316</v>
      </c>
      <c r="C1474" s="29" t="s">
        <v>1317</v>
      </c>
      <c r="D1474" s="51"/>
      <c r="E1474" s="40"/>
      <c r="F1474" s="51">
        <v>1</v>
      </c>
      <c r="G1474" s="51">
        <v>1</v>
      </c>
      <c r="H1474" s="51">
        <v>2</v>
      </c>
      <c r="I1474" s="51">
        <v>2</v>
      </c>
      <c r="J1474" s="51">
        <v>2</v>
      </c>
      <c r="K1474" s="51">
        <v>2</v>
      </c>
      <c r="L1474" s="40" t="s">
        <v>556</v>
      </c>
      <c r="M1474" s="40">
        <v>1</v>
      </c>
      <c r="N1474" s="40" t="s">
        <v>556</v>
      </c>
      <c r="O1474" s="40" t="s">
        <v>556</v>
      </c>
      <c r="P1474" s="40" t="s">
        <v>556</v>
      </c>
      <c r="Q1474" s="30"/>
      <c r="R1474" s="30"/>
      <c r="S1474" s="30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</row>
    <row r="1475" spans="1:19" s="47" customFormat="1" ht="17.25" customHeight="1">
      <c r="A1475" s="50"/>
      <c r="B1475" s="93" t="s">
        <v>670</v>
      </c>
      <c r="C1475" s="94"/>
      <c r="D1475" s="60"/>
      <c r="E1475" s="60"/>
      <c r="F1475" s="60"/>
      <c r="G1475" s="60"/>
      <c r="H1475" s="60"/>
      <c r="I1475" s="60"/>
      <c r="J1475" s="60"/>
      <c r="K1475" s="60"/>
      <c r="L1475" s="60" t="str">
        <f>L1476</f>
        <v> -</v>
      </c>
      <c r="M1475" s="60" t="str">
        <f>M1476</f>
        <v> -</v>
      </c>
      <c r="N1475" s="60" t="s">
        <v>556</v>
      </c>
      <c r="O1475" s="60">
        <f>O1476</f>
        <v>1</v>
      </c>
      <c r="P1475" s="60" t="str">
        <f>P1476</f>
        <v> -</v>
      </c>
      <c r="Q1475" s="95"/>
      <c r="R1475" s="95"/>
      <c r="S1475" s="96"/>
    </row>
    <row r="1476" spans="1:19" s="48" customFormat="1" ht="17.25" customHeight="1">
      <c r="A1476" s="12"/>
      <c r="B1476" s="97" t="s">
        <v>561</v>
      </c>
      <c r="C1476" s="66" t="s">
        <v>804</v>
      </c>
      <c r="D1476" s="40"/>
      <c r="E1476" s="40"/>
      <c r="F1476" s="40" t="s">
        <v>556</v>
      </c>
      <c r="G1476" s="40" t="s">
        <v>556</v>
      </c>
      <c r="H1476" s="40" t="s">
        <v>556</v>
      </c>
      <c r="I1476" s="40" t="s">
        <v>556</v>
      </c>
      <c r="J1476" s="40">
        <v>1</v>
      </c>
      <c r="K1476" s="40">
        <v>1</v>
      </c>
      <c r="L1476" s="40" t="s">
        <v>556</v>
      </c>
      <c r="M1476" s="40" t="s">
        <v>556</v>
      </c>
      <c r="N1476" s="40" t="s">
        <v>556</v>
      </c>
      <c r="O1476" s="40">
        <v>1</v>
      </c>
      <c r="P1476" s="40" t="s">
        <v>556</v>
      </c>
      <c r="Q1476" s="22"/>
      <c r="R1476" s="12"/>
      <c r="S1476" s="12"/>
    </row>
    <row r="1477" spans="1:19" ht="15" customHeight="1">
      <c r="A1477" s="399" t="s">
        <v>657</v>
      </c>
      <c r="B1477" s="399"/>
      <c r="C1477" s="399"/>
      <c r="D1477" s="399"/>
      <c r="E1477" s="399"/>
      <c r="F1477" s="399"/>
      <c r="G1477" s="399"/>
      <c r="H1477" s="399"/>
      <c r="I1477" s="399"/>
      <c r="J1477" s="399"/>
      <c r="K1477" s="399"/>
      <c r="L1477" s="399"/>
      <c r="M1477" s="399"/>
      <c r="N1477" s="399"/>
      <c r="O1477" s="399"/>
      <c r="P1477" s="399"/>
      <c r="Q1477" s="20"/>
      <c r="R1477" s="20"/>
      <c r="S1477" s="7"/>
    </row>
    <row r="1478" spans="1:19" ht="13.5" customHeight="1">
      <c r="A1478" s="400" t="s">
        <v>676</v>
      </c>
      <c r="B1478" s="400"/>
      <c r="C1478" s="400"/>
      <c r="D1478" s="400"/>
      <c r="E1478" s="400"/>
      <c r="F1478" s="400"/>
      <c r="G1478" s="400"/>
      <c r="H1478" s="400"/>
      <c r="I1478" s="400"/>
      <c r="J1478" s="400"/>
      <c r="K1478" s="400"/>
      <c r="L1478" s="400"/>
      <c r="M1478" s="400"/>
      <c r="N1478" s="400"/>
      <c r="O1478" s="400"/>
      <c r="P1478" s="400"/>
      <c r="Q1478" s="21"/>
      <c r="R1478" s="21"/>
      <c r="S1478" s="8"/>
    </row>
    <row r="1479" spans="1:188" s="276" customFormat="1" ht="17.25" customHeight="1">
      <c r="A1479" s="13">
        <v>85</v>
      </c>
      <c r="B1479" s="92" t="s">
        <v>242</v>
      </c>
      <c r="C1479" s="45"/>
      <c r="D1479" s="44">
        <v>478</v>
      </c>
      <c r="E1479" s="44">
        <v>38</v>
      </c>
      <c r="F1479" s="44">
        <v>314</v>
      </c>
      <c r="G1479" s="44">
        <v>314</v>
      </c>
      <c r="H1479" s="44">
        <v>314</v>
      </c>
      <c r="I1479" s="44">
        <v>314</v>
      </c>
      <c r="J1479" s="44"/>
      <c r="K1479" s="44">
        <v>314</v>
      </c>
      <c r="L1479" s="44"/>
      <c r="M1479" s="44">
        <v>23</v>
      </c>
      <c r="N1479" s="44">
        <v>5</v>
      </c>
      <c r="O1479" s="44">
        <v>3</v>
      </c>
      <c r="P1479" s="44">
        <v>4</v>
      </c>
      <c r="Q1479" s="290" t="s">
        <v>648</v>
      </c>
      <c r="R1479" s="290">
        <v>10</v>
      </c>
      <c r="S1479" s="291" t="s">
        <v>1278</v>
      </c>
      <c r="T1479" s="275"/>
      <c r="U1479" s="275"/>
      <c r="V1479" s="275"/>
      <c r="W1479" s="275"/>
      <c r="X1479" s="275"/>
      <c r="Y1479" s="275"/>
      <c r="Z1479" s="275"/>
      <c r="AA1479" s="275"/>
      <c r="AB1479" s="275"/>
      <c r="AC1479" s="275"/>
      <c r="AD1479" s="275"/>
      <c r="AE1479" s="275"/>
      <c r="AF1479" s="275"/>
      <c r="AG1479" s="275"/>
      <c r="AH1479" s="275"/>
      <c r="AI1479" s="275"/>
      <c r="AJ1479" s="275"/>
      <c r="AK1479" s="275"/>
      <c r="AL1479" s="275"/>
      <c r="AM1479" s="275"/>
      <c r="AN1479" s="275"/>
      <c r="AO1479" s="275"/>
      <c r="AP1479" s="275"/>
      <c r="AQ1479" s="275"/>
      <c r="AR1479" s="275"/>
      <c r="AS1479" s="275"/>
      <c r="AT1479" s="275"/>
      <c r="AU1479" s="275"/>
      <c r="AV1479" s="275"/>
      <c r="AW1479" s="275"/>
      <c r="AX1479" s="275"/>
      <c r="AY1479" s="275"/>
      <c r="AZ1479" s="275"/>
      <c r="BA1479" s="275"/>
      <c r="BB1479" s="275"/>
      <c r="BC1479" s="275"/>
      <c r="BD1479" s="275"/>
      <c r="BE1479" s="275"/>
      <c r="BF1479" s="275"/>
      <c r="BG1479" s="275"/>
      <c r="BH1479" s="275"/>
      <c r="BI1479" s="275"/>
      <c r="BJ1479" s="275"/>
      <c r="BK1479" s="275"/>
      <c r="BL1479" s="275"/>
      <c r="BM1479" s="275"/>
      <c r="BN1479" s="275"/>
      <c r="BO1479" s="275"/>
      <c r="BP1479" s="275"/>
      <c r="BQ1479" s="275"/>
      <c r="BR1479" s="275"/>
      <c r="BS1479" s="275"/>
      <c r="BT1479" s="275"/>
      <c r="BU1479" s="275"/>
      <c r="BV1479" s="275"/>
      <c r="BW1479" s="275"/>
      <c r="BX1479" s="275"/>
      <c r="BY1479" s="275"/>
      <c r="BZ1479" s="275"/>
      <c r="CA1479" s="275"/>
      <c r="CB1479" s="275"/>
      <c r="CC1479" s="275"/>
      <c r="CD1479" s="275"/>
      <c r="CE1479" s="275"/>
      <c r="CF1479" s="275"/>
      <c r="CG1479" s="275"/>
      <c r="CH1479" s="275"/>
      <c r="CI1479" s="275"/>
      <c r="CJ1479" s="275"/>
      <c r="CK1479" s="275"/>
      <c r="CL1479" s="275"/>
      <c r="CM1479" s="275"/>
      <c r="CN1479" s="275"/>
      <c r="CO1479" s="275"/>
      <c r="CP1479" s="275"/>
      <c r="CQ1479" s="275"/>
      <c r="CR1479" s="275"/>
      <c r="CS1479" s="275"/>
      <c r="CT1479" s="275"/>
      <c r="CU1479" s="275"/>
      <c r="CV1479" s="275"/>
      <c r="CW1479" s="275"/>
      <c r="CX1479" s="275"/>
      <c r="CY1479" s="275"/>
      <c r="CZ1479" s="275"/>
      <c r="DA1479" s="275"/>
      <c r="DB1479" s="275"/>
      <c r="DC1479" s="275"/>
      <c r="DD1479" s="275"/>
      <c r="DE1479" s="275"/>
      <c r="DF1479" s="275"/>
      <c r="DG1479" s="275"/>
      <c r="DH1479" s="275"/>
      <c r="DI1479" s="275"/>
      <c r="DJ1479" s="275"/>
      <c r="DK1479" s="275"/>
      <c r="DL1479" s="275"/>
      <c r="DM1479" s="275"/>
      <c r="DN1479" s="275"/>
      <c r="DO1479" s="275"/>
      <c r="DP1479" s="275"/>
      <c r="DQ1479" s="275"/>
      <c r="DR1479" s="275"/>
      <c r="DS1479" s="275"/>
      <c r="DT1479" s="275"/>
      <c r="DU1479" s="275"/>
      <c r="DV1479" s="275"/>
      <c r="DW1479" s="275"/>
      <c r="DX1479" s="275"/>
      <c r="DY1479" s="275"/>
      <c r="DZ1479" s="275"/>
      <c r="EA1479" s="275"/>
      <c r="EB1479" s="275"/>
      <c r="EC1479" s="275"/>
      <c r="ED1479" s="275"/>
      <c r="EE1479" s="275"/>
      <c r="EF1479" s="275"/>
      <c r="EG1479" s="275"/>
      <c r="EH1479" s="275"/>
      <c r="EI1479" s="275"/>
      <c r="EJ1479" s="275"/>
      <c r="EK1479" s="275"/>
      <c r="EL1479" s="275"/>
      <c r="EM1479" s="275"/>
      <c r="EN1479" s="275"/>
      <c r="EO1479" s="275"/>
      <c r="EP1479" s="275"/>
      <c r="EQ1479" s="275"/>
      <c r="ER1479" s="275"/>
      <c r="ES1479" s="275"/>
      <c r="ET1479" s="275"/>
      <c r="EU1479" s="275"/>
      <c r="EV1479" s="275"/>
      <c r="EW1479" s="275"/>
      <c r="EX1479" s="275"/>
      <c r="EY1479" s="275"/>
      <c r="EZ1479" s="275"/>
      <c r="FA1479" s="275"/>
      <c r="FB1479" s="275"/>
      <c r="FC1479" s="275"/>
      <c r="FD1479" s="275"/>
      <c r="FE1479" s="275"/>
      <c r="FF1479" s="275"/>
      <c r="FG1479" s="275"/>
      <c r="FH1479" s="275"/>
      <c r="FI1479" s="275"/>
      <c r="FJ1479" s="275"/>
      <c r="FK1479" s="275"/>
      <c r="FL1479" s="275"/>
      <c r="FM1479" s="275"/>
      <c r="FN1479" s="275"/>
      <c r="FO1479" s="275"/>
      <c r="FP1479" s="275"/>
      <c r="FQ1479" s="275"/>
      <c r="FR1479" s="275"/>
      <c r="FS1479" s="275"/>
      <c r="FT1479" s="275"/>
      <c r="FU1479" s="275"/>
      <c r="FV1479" s="275"/>
      <c r="FW1479" s="275"/>
      <c r="FX1479" s="275"/>
      <c r="FY1479" s="275"/>
      <c r="FZ1479" s="275"/>
      <c r="GA1479" s="275"/>
      <c r="GB1479" s="275"/>
      <c r="GC1479" s="275"/>
      <c r="GD1479" s="275"/>
      <c r="GE1479" s="275"/>
      <c r="GF1479" s="275"/>
    </row>
    <row r="1480" spans="1:19" s="280" customFormat="1" ht="17.25" customHeight="1">
      <c r="A1480" s="50"/>
      <c r="B1480" s="93" t="s">
        <v>669</v>
      </c>
      <c r="C1480" s="94"/>
      <c r="D1480" s="60">
        <v>72</v>
      </c>
      <c r="E1480" s="60">
        <v>6</v>
      </c>
      <c r="F1480" s="60"/>
      <c r="G1480" s="60"/>
      <c r="H1480" s="60"/>
      <c r="I1480" s="60"/>
      <c r="J1480" s="60"/>
      <c r="K1480" s="60"/>
      <c r="L1480" s="60"/>
      <c r="M1480" s="60">
        <f>SUM(M1481:M1490)</f>
        <v>23</v>
      </c>
      <c r="N1480" s="60">
        <f>SUM(N1481:N1490)</f>
        <v>5</v>
      </c>
      <c r="O1480" s="60">
        <f>SUM(O1481:O1491)</f>
        <v>3</v>
      </c>
      <c r="P1480" s="60">
        <f>SUM(P1481:P1491)</f>
        <v>4</v>
      </c>
      <c r="Q1480" s="278"/>
      <c r="R1480" s="278"/>
      <c r="S1480" s="279"/>
    </row>
    <row r="1481" spans="1:19" s="294" customFormat="1" ht="17.25" customHeight="1">
      <c r="A1481" s="12"/>
      <c r="B1481" s="97" t="s">
        <v>786</v>
      </c>
      <c r="C1481" s="15" t="s">
        <v>1296</v>
      </c>
      <c r="D1481" s="40">
        <v>2</v>
      </c>
      <c r="E1481" s="40"/>
      <c r="F1481" s="40">
        <v>16</v>
      </c>
      <c r="G1481" s="40">
        <v>17</v>
      </c>
      <c r="H1481" s="40">
        <v>17</v>
      </c>
      <c r="I1481" s="40">
        <v>17</v>
      </c>
      <c r="J1481" s="40">
        <v>16</v>
      </c>
      <c r="K1481" s="40">
        <v>16</v>
      </c>
      <c r="L1481" s="40"/>
      <c r="M1481" s="40">
        <v>1</v>
      </c>
      <c r="N1481" s="40"/>
      <c r="O1481" s="40"/>
      <c r="P1481" s="40"/>
      <c r="Q1481" s="292"/>
      <c r="R1481" s="292"/>
      <c r="S1481" s="293"/>
    </row>
    <row r="1482" spans="1:19" s="294" customFormat="1" ht="17.25" customHeight="1">
      <c r="A1482" s="12"/>
      <c r="B1482" s="97" t="s">
        <v>1258</v>
      </c>
      <c r="C1482" s="15" t="s">
        <v>1262</v>
      </c>
      <c r="D1482" s="40">
        <v>19</v>
      </c>
      <c r="E1482" s="40">
        <v>2</v>
      </c>
      <c r="F1482" s="40"/>
      <c r="G1482" s="40">
        <v>14</v>
      </c>
      <c r="H1482" s="40">
        <v>14</v>
      </c>
      <c r="I1482" s="40">
        <v>14</v>
      </c>
      <c r="J1482" s="40">
        <v>14</v>
      </c>
      <c r="K1482" s="40">
        <v>14</v>
      </c>
      <c r="L1482" s="40"/>
      <c r="M1482" s="40">
        <v>5</v>
      </c>
      <c r="N1482" s="40">
        <v>2</v>
      </c>
      <c r="O1482" s="40">
        <v>2</v>
      </c>
      <c r="P1482" s="40">
        <v>2</v>
      </c>
      <c r="Q1482" s="292"/>
      <c r="R1482" s="292"/>
      <c r="S1482" s="293"/>
    </row>
    <row r="1483" spans="1:19" s="294" customFormat="1" ht="17.25" customHeight="1">
      <c r="A1483" s="12"/>
      <c r="B1483" s="97" t="s">
        <v>1263</v>
      </c>
      <c r="C1483" s="15" t="s">
        <v>1183</v>
      </c>
      <c r="D1483" s="40">
        <v>14</v>
      </c>
      <c r="E1483" s="40"/>
      <c r="F1483" s="40"/>
      <c r="G1483" s="40"/>
      <c r="H1483" s="40"/>
      <c r="I1483" s="40"/>
      <c r="J1483" s="40"/>
      <c r="K1483" s="40"/>
      <c r="L1483" s="40"/>
      <c r="M1483" s="40">
        <v>3</v>
      </c>
      <c r="N1483" s="40"/>
      <c r="O1483" s="40"/>
      <c r="P1483" s="40"/>
      <c r="Q1483" s="295"/>
      <c r="R1483" s="295"/>
      <c r="S1483" s="296"/>
    </row>
    <row r="1484" spans="1:19" s="294" customFormat="1" ht="17.25" customHeight="1">
      <c r="A1484" s="12"/>
      <c r="B1484" s="97" t="s">
        <v>1259</v>
      </c>
      <c r="C1484" s="15" t="s">
        <v>603</v>
      </c>
      <c r="D1484" s="40">
        <v>1</v>
      </c>
      <c r="E1484" s="40"/>
      <c r="F1484" s="40"/>
      <c r="G1484" s="40"/>
      <c r="H1484" s="40"/>
      <c r="I1484" s="40"/>
      <c r="J1484" s="40"/>
      <c r="K1484" s="40"/>
      <c r="L1484" s="40"/>
      <c r="M1484" s="40">
        <v>1</v>
      </c>
      <c r="N1484" s="40"/>
      <c r="O1484" s="40"/>
      <c r="P1484" s="40"/>
      <c r="Q1484" s="295"/>
      <c r="R1484" s="295"/>
      <c r="S1484" s="296"/>
    </row>
    <row r="1485" spans="1:19" s="294" customFormat="1" ht="17.25" customHeight="1">
      <c r="A1485" s="12"/>
      <c r="B1485" s="97" t="s">
        <v>1267</v>
      </c>
      <c r="C1485" s="15" t="s">
        <v>1264</v>
      </c>
      <c r="D1485" s="40">
        <v>12</v>
      </c>
      <c r="E1485" s="40"/>
      <c r="F1485" s="40"/>
      <c r="G1485" s="40"/>
      <c r="H1485" s="40"/>
      <c r="I1485" s="40"/>
      <c r="J1485" s="40"/>
      <c r="K1485" s="40"/>
      <c r="L1485" s="40"/>
      <c r="M1485" s="40">
        <v>1</v>
      </c>
      <c r="N1485" s="40"/>
      <c r="O1485" s="40"/>
      <c r="P1485" s="40"/>
      <c r="Q1485" s="295"/>
      <c r="R1485" s="295"/>
      <c r="S1485" s="296"/>
    </row>
    <row r="1486" spans="1:19" s="294" customFormat="1" ht="17.25" customHeight="1">
      <c r="A1486" s="12"/>
      <c r="B1486" s="97" t="s">
        <v>1268</v>
      </c>
      <c r="C1486" s="339">
        <v>16771</v>
      </c>
      <c r="D1486" s="40">
        <v>4</v>
      </c>
      <c r="E1486" s="40"/>
      <c r="F1486" s="40"/>
      <c r="G1486" s="40"/>
      <c r="H1486" s="40"/>
      <c r="I1486" s="40"/>
      <c r="J1486" s="40"/>
      <c r="K1486" s="40"/>
      <c r="L1486" s="40"/>
      <c r="M1486" s="40">
        <v>4</v>
      </c>
      <c r="N1486" s="40"/>
      <c r="O1486" s="40"/>
      <c r="P1486" s="40"/>
      <c r="Q1486" s="295"/>
      <c r="R1486" s="295"/>
      <c r="S1486" s="296"/>
    </row>
    <row r="1487" spans="1:19" s="294" customFormat="1" ht="17.25" customHeight="1">
      <c r="A1487" s="12"/>
      <c r="B1487" s="97" t="s">
        <v>1260</v>
      </c>
      <c r="C1487" s="15" t="s">
        <v>645</v>
      </c>
      <c r="D1487" s="40">
        <v>9</v>
      </c>
      <c r="E1487" s="40">
        <v>1</v>
      </c>
      <c r="F1487" s="40"/>
      <c r="G1487" s="40"/>
      <c r="H1487" s="40"/>
      <c r="I1487" s="40"/>
      <c r="J1487" s="40"/>
      <c r="K1487" s="40"/>
      <c r="L1487" s="40"/>
      <c r="M1487" s="40">
        <v>3</v>
      </c>
      <c r="N1487" s="40">
        <v>1</v>
      </c>
      <c r="O1487" s="40"/>
      <c r="P1487" s="40">
        <v>1</v>
      </c>
      <c r="Q1487" s="295"/>
      <c r="R1487" s="295"/>
      <c r="S1487" s="296"/>
    </row>
    <row r="1488" spans="1:19" s="294" customFormat="1" ht="17.25" customHeight="1">
      <c r="A1488" s="12"/>
      <c r="B1488" s="97" t="s">
        <v>1269</v>
      </c>
      <c r="C1488" s="15" t="s">
        <v>1265</v>
      </c>
      <c r="D1488" s="40">
        <v>2</v>
      </c>
      <c r="E1488" s="40">
        <v>2</v>
      </c>
      <c r="F1488" s="40"/>
      <c r="G1488" s="40"/>
      <c r="H1488" s="40"/>
      <c r="I1488" s="40"/>
      <c r="J1488" s="40"/>
      <c r="K1488" s="40"/>
      <c r="L1488" s="40"/>
      <c r="M1488" s="40">
        <v>2</v>
      </c>
      <c r="N1488" s="40">
        <v>1</v>
      </c>
      <c r="O1488" s="40">
        <v>1</v>
      </c>
      <c r="P1488" s="40">
        <v>1</v>
      </c>
      <c r="Q1488" s="295"/>
      <c r="R1488" s="295"/>
      <c r="S1488" s="296"/>
    </row>
    <row r="1489" spans="1:19" s="294" customFormat="1" ht="17.25" customHeight="1">
      <c r="A1489" s="12"/>
      <c r="B1489" s="97" t="s">
        <v>1261</v>
      </c>
      <c r="C1489" s="15" t="s">
        <v>449</v>
      </c>
      <c r="D1489" s="40">
        <v>2</v>
      </c>
      <c r="E1489" s="40"/>
      <c r="F1489" s="40"/>
      <c r="G1489" s="40"/>
      <c r="H1489" s="40"/>
      <c r="I1489" s="40"/>
      <c r="J1489" s="40"/>
      <c r="K1489" s="40"/>
      <c r="L1489" s="40"/>
      <c r="M1489" s="40">
        <v>2</v>
      </c>
      <c r="N1489" s="40"/>
      <c r="O1489" s="40"/>
      <c r="P1489" s="40"/>
      <c r="Q1489" s="295"/>
      <c r="R1489" s="295"/>
      <c r="S1489" s="296"/>
    </row>
    <row r="1490" spans="1:19" s="294" customFormat="1" ht="17.25" customHeight="1">
      <c r="A1490" s="12"/>
      <c r="B1490" s="97" t="s">
        <v>1270</v>
      </c>
      <c r="C1490" s="15" t="s">
        <v>1266</v>
      </c>
      <c r="D1490" s="40">
        <v>7</v>
      </c>
      <c r="E1490" s="40">
        <v>1</v>
      </c>
      <c r="F1490" s="40"/>
      <c r="G1490" s="40"/>
      <c r="H1490" s="40"/>
      <c r="I1490" s="40"/>
      <c r="J1490" s="40"/>
      <c r="K1490" s="40"/>
      <c r="L1490" s="40"/>
      <c r="M1490" s="40">
        <v>1</v>
      </c>
      <c r="N1490" s="40">
        <v>1</v>
      </c>
      <c r="O1490" s="40"/>
      <c r="P1490" s="40"/>
      <c r="Q1490" s="295"/>
      <c r="R1490" s="295"/>
      <c r="S1490" s="296"/>
    </row>
    <row r="1491" spans="1:188" s="57" customFormat="1" ht="20.25" customHeight="1">
      <c r="A1491" s="13">
        <v>86</v>
      </c>
      <c r="B1491" s="92" t="s">
        <v>310</v>
      </c>
      <c r="C1491" s="45"/>
      <c r="D1491" s="44">
        <v>210</v>
      </c>
      <c r="E1491" s="44">
        <v>34</v>
      </c>
      <c r="F1491" s="44">
        <v>88</v>
      </c>
      <c r="G1491" s="44">
        <v>210</v>
      </c>
      <c r="H1491" s="44">
        <v>210</v>
      </c>
      <c r="I1491" s="44">
        <v>210</v>
      </c>
      <c r="J1491" s="44"/>
      <c r="K1491" s="44">
        <v>210</v>
      </c>
      <c r="L1491" s="44">
        <f>L1492</f>
        <v>4</v>
      </c>
      <c r="M1491" s="44">
        <f>M1492</f>
        <v>4</v>
      </c>
      <c r="N1491" s="44">
        <f>N1492</f>
        <v>4</v>
      </c>
      <c r="O1491" s="44" t="str">
        <f>O1492</f>
        <v> -</v>
      </c>
      <c r="P1491" s="44" t="str">
        <f>P1492</f>
        <v> -</v>
      </c>
      <c r="Q1491" s="54" t="s">
        <v>648</v>
      </c>
      <c r="R1491" s="54">
        <v>1</v>
      </c>
      <c r="S1491" s="55" t="s">
        <v>551</v>
      </c>
      <c r="T1491" s="56"/>
      <c r="U1491" s="56"/>
      <c r="V1491" s="56"/>
      <c r="W1491" s="56"/>
      <c r="X1491" s="56"/>
      <c r="Y1491" s="56"/>
      <c r="Z1491" s="56"/>
      <c r="AA1491" s="56"/>
      <c r="AB1491" s="56"/>
      <c r="AC1491" s="56"/>
      <c r="AD1491" s="56"/>
      <c r="AE1491" s="56"/>
      <c r="AF1491" s="56"/>
      <c r="AG1491" s="56"/>
      <c r="AH1491" s="56"/>
      <c r="AI1491" s="56"/>
      <c r="AJ1491" s="56"/>
      <c r="AK1491" s="56"/>
      <c r="AL1491" s="56"/>
      <c r="AM1491" s="56"/>
      <c r="AN1491" s="56"/>
      <c r="AO1491" s="56"/>
      <c r="AP1491" s="56"/>
      <c r="AQ1491" s="56"/>
      <c r="AR1491" s="56"/>
      <c r="AS1491" s="56"/>
      <c r="AT1491" s="56"/>
      <c r="AU1491" s="56"/>
      <c r="AV1491" s="56"/>
      <c r="AW1491" s="56"/>
      <c r="AX1491" s="56"/>
      <c r="AY1491" s="56"/>
      <c r="AZ1491" s="56"/>
      <c r="BA1491" s="56"/>
      <c r="BB1491" s="56"/>
      <c r="BC1491" s="56"/>
      <c r="BD1491" s="56"/>
      <c r="BE1491" s="56"/>
      <c r="BF1491" s="56"/>
      <c r="BG1491" s="56"/>
      <c r="BH1491" s="56"/>
      <c r="BI1491" s="56"/>
      <c r="BJ1491" s="56"/>
      <c r="BK1491" s="56"/>
      <c r="BL1491" s="56"/>
      <c r="BM1491" s="56"/>
      <c r="BN1491" s="56"/>
      <c r="BO1491" s="56"/>
      <c r="BP1491" s="56"/>
      <c r="BQ1491" s="56"/>
      <c r="BR1491" s="56"/>
      <c r="BS1491" s="56"/>
      <c r="BT1491" s="56"/>
      <c r="BU1491" s="56"/>
      <c r="BV1491" s="56"/>
      <c r="BW1491" s="56"/>
      <c r="BX1491" s="56"/>
      <c r="BY1491" s="56"/>
      <c r="BZ1491" s="56"/>
      <c r="CA1491" s="56"/>
      <c r="CB1491" s="56"/>
      <c r="CC1491" s="56"/>
      <c r="CD1491" s="56"/>
      <c r="CE1491" s="56"/>
      <c r="CF1491" s="56"/>
      <c r="CG1491" s="56"/>
      <c r="CH1491" s="56"/>
      <c r="CI1491" s="56"/>
      <c r="CJ1491" s="56"/>
      <c r="CK1491" s="56"/>
      <c r="CL1491" s="56"/>
      <c r="CM1491" s="56"/>
      <c r="CN1491" s="56"/>
      <c r="CO1491" s="56"/>
      <c r="CP1491" s="56"/>
      <c r="CQ1491" s="56"/>
      <c r="CR1491" s="56"/>
      <c r="CS1491" s="56"/>
      <c r="CT1491" s="56"/>
      <c r="CU1491" s="56"/>
      <c r="CV1491" s="56"/>
      <c r="CW1491" s="56"/>
      <c r="CX1491" s="56"/>
      <c r="CY1491" s="56"/>
      <c r="CZ1491" s="56"/>
      <c r="DA1491" s="56"/>
      <c r="DB1491" s="56"/>
      <c r="DC1491" s="56"/>
      <c r="DD1491" s="56"/>
      <c r="DE1491" s="56"/>
      <c r="DF1491" s="56"/>
      <c r="DG1491" s="56"/>
      <c r="DH1491" s="56"/>
      <c r="DI1491" s="56"/>
      <c r="DJ1491" s="56"/>
      <c r="DK1491" s="56"/>
      <c r="DL1491" s="56"/>
      <c r="DM1491" s="56"/>
      <c r="DN1491" s="56"/>
      <c r="DO1491" s="56"/>
      <c r="DP1491" s="56"/>
      <c r="DQ1491" s="56"/>
      <c r="DR1491" s="56"/>
      <c r="DS1491" s="56"/>
      <c r="DT1491" s="56"/>
      <c r="DU1491" s="56"/>
      <c r="DV1491" s="56"/>
      <c r="DW1491" s="56"/>
      <c r="DX1491" s="56"/>
      <c r="DY1491" s="56"/>
      <c r="DZ1491" s="56"/>
      <c r="EA1491" s="56"/>
      <c r="EB1491" s="56"/>
      <c r="EC1491" s="56"/>
      <c r="ED1491" s="56"/>
      <c r="EE1491" s="56"/>
      <c r="EF1491" s="56"/>
      <c r="EG1491" s="56"/>
      <c r="EH1491" s="56"/>
      <c r="EI1491" s="56"/>
      <c r="EJ1491" s="56"/>
      <c r="EK1491" s="56"/>
      <c r="EL1491" s="56"/>
      <c r="EM1491" s="56"/>
      <c r="EN1491" s="56"/>
      <c r="EO1491" s="56"/>
      <c r="EP1491" s="56"/>
      <c r="EQ1491" s="56"/>
      <c r="ER1491" s="56"/>
      <c r="ES1491" s="56"/>
      <c r="ET1491" s="56"/>
      <c r="EU1491" s="56"/>
      <c r="EV1491" s="56"/>
      <c r="EW1491" s="56"/>
      <c r="EX1491" s="56"/>
      <c r="EY1491" s="56"/>
      <c r="EZ1491" s="56"/>
      <c r="FA1491" s="56"/>
      <c r="FB1491" s="56"/>
      <c r="FC1491" s="56"/>
      <c r="FD1491" s="56"/>
      <c r="FE1491" s="56"/>
      <c r="FF1491" s="56"/>
      <c r="FG1491" s="56"/>
      <c r="FH1491" s="56"/>
      <c r="FI1491" s="56"/>
      <c r="FJ1491" s="56"/>
      <c r="FK1491" s="56"/>
      <c r="FL1491" s="56"/>
      <c r="FM1491" s="56"/>
      <c r="FN1491" s="56"/>
      <c r="FO1491" s="56"/>
      <c r="FP1491" s="56"/>
      <c r="FQ1491" s="56"/>
      <c r="FR1491" s="56"/>
      <c r="FS1491" s="56"/>
      <c r="FT1491" s="56"/>
      <c r="FU1491" s="56"/>
      <c r="FV1491" s="56"/>
      <c r="FW1491" s="56"/>
      <c r="FX1491" s="56"/>
      <c r="FY1491" s="56"/>
      <c r="FZ1491" s="56"/>
      <c r="GA1491" s="56"/>
      <c r="GB1491" s="56"/>
      <c r="GC1491" s="56"/>
      <c r="GD1491" s="56"/>
      <c r="GE1491" s="56"/>
      <c r="GF1491" s="56"/>
    </row>
    <row r="1492" spans="1:48" s="18" customFormat="1" ht="18.75" customHeight="1">
      <c r="A1492" s="50"/>
      <c r="B1492" s="93" t="s">
        <v>669</v>
      </c>
      <c r="C1492" s="16"/>
      <c r="D1492" s="52"/>
      <c r="E1492" s="52"/>
      <c r="F1492" s="52"/>
      <c r="G1492" s="52"/>
      <c r="H1492" s="52"/>
      <c r="I1492" s="52"/>
      <c r="J1492" s="52"/>
      <c r="K1492" s="52"/>
      <c r="L1492" s="60">
        <v>4</v>
      </c>
      <c r="M1492" s="60">
        <v>4</v>
      </c>
      <c r="N1492" s="60">
        <v>4</v>
      </c>
      <c r="O1492" s="60" t="s">
        <v>556</v>
      </c>
      <c r="P1492" s="60" t="s">
        <v>556</v>
      </c>
      <c r="Q1492" s="23"/>
      <c r="R1492" s="23"/>
      <c r="S1492" s="17"/>
      <c r="T1492" s="47"/>
      <c r="U1492" s="47"/>
      <c r="V1492" s="47"/>
      <c r="W1492" s="47"/>
      <c r="X1492" s="47"/>
      <c r="Y1492" s="47"/>
      <c r="Z1492" s="47"/>
      <c r="AA1492" s="47"/>
      <c r="AB1492" s="47"/>
      <c r="AC1492" s="47"/>
      <c r="AD1492" s="47"/>
      <c r="AE1492" s="47"/>
      <c r="AF1492" s="47"/>
      <c r="AG1492" s="47"/>
      <c r="AH1492" s="47"/>
      <c r="AI1492" s="47"/>
      <c r="AJ1492" s="47"/>
      <c r="AK1492" s="47"/>
      <c r="AL1492" s="47"/>
      <c r="AM1492" s="47"/>
      <c r="AN1492" s="47"/>
      <c r="AO1492" s="47"/>
      <c r="AP1492" s="47"/>
      <c r="AQ1492" s="47"/>
      <c r="AR1492" s="47"/>
      <c r="AS1492" s="47"/>
      <c r="AT1492" s="47"/>
      <c r="AU1492" s="47"/>
      <c r="AV1492" s="47"/>
    </row>
    <row r="1493" spans="1:48" s="27" customFormat="1" ht="15.75" customHeight="1">
      <c r="A1493" s="12"/>
      <c r="B1493" s="97" t="s">
        <v>1316</v>
      </c>
      <c r="C1493" s="29" t="s">
        <v>1317</v>
      </c>
      <c r="D1493" s="51"/>
      <c r="E1493" s="51"/>
      <c r="F1493" s="51">
        <v>6</v>
      </c>
      <c r="G1493" s="51">
        <v>6</v>
      </c>
      <c r="H1493" s="51">
        <v>7</v>
      </c>
      <c r="I1493" s="51">
        <v>7</v>
      </c>
      <c r="J1493" s="51"/>
      <c r="K1493" s="51">
        <v>7</v>
      </c>
      <c r="L1493" s="40">
        <v>2</v>
      </c>
      <c r="M1493" s="40">
        <v>2</v>
      </c>
      <c r="N1493" s="40">
        <v>2</v>
      </c>
      <c r="O1493" s="40" t="s">
        <v>556</v>
      </c>
      <c r="P1493" s="40" t="s">
        <v>556</v>
      </c>
      <c r="Q1493" s="33"/>
      <c r="R1493" s="28"/>
      <c r="S1493" s="2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</row>
    <row r="1494" spans="1:48" s="27" customFormat="1" ht="15.75" customHeight="1">
      <c r="A1494" s="12"/>
      <c r="B1494" s="105" t="s">
        <v>1303</v>
      </c>
      <c r="C1494" s="15">
        <v>15050334</v>
      </c>
      <c r="D1494" s="51"/>
      <c r="E1494" s="51"/>
      <c r="F1494" s="51"/>
      <c r="G1494" s="51"/>
      <c r="H1494" s="51"/>
      <c r="I1494" s="51"/>
      <c r="J1494" s="51"/>
      <c r="K1494" s="51"/>
      <c r="L1494" s="40">
        <v>2</v>
      </c>
      <c r="M1494" s="40">
        <v>2</v>
      </c>
      <c r="N1494" s="40">
        <v>2</v>
      </c>
      <c r="O1494" s="40" t="s">
        <v>556</v>
      </c>
      <c r="P1494" s="40" t="s">
        <v>556</v>
      </c>
      <c r="Q1494" s="33"/>
      <c r="R1494" s="28"/>
      <c r="S1494" s="2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</row>
    <row r="1495" spans="1:19" ht="13.5" customHeight="1">
      <c r="A1495" s="400" t="s">
        <v>909</v>
      </c>
      <c r="B1495" s="400"/>
      <c r="C1495" s="400"/>
      <c r="D1495" s="400"/>
      <c r="E1495" s="400"/>
      <c r="F1495" s="400"/>
      <c r="G1495" s="400"/>
      <c r="H1495" s="400"/>
      <c r="I1495" s="400"/>
      <c r="J1495" s="400"/>
      <c r="K1495" s="400"/>
      <c r="L1495" s="400"/>
      <c r="M1495" s="400"/>
      <c r="N1495" s="400"/>
      <c r="O1495" s="400"/>
      <c r="P1495" s="400"/>
      <c r="Q1495" s="21"/>
      <c r="R1495" s="21"/>
      <c r="S1495" s="8"/>
    </row>
    <row r="1496" spans="1:188" s="57" customFormat="1" ht="19.5" customHeight="1">
      <c r="A1496" s="13">
        <v>87</v>
      </c>
      <c r="B1496" s="92" t="s">
        <v>254</v>
      </c>
      <c r="C1496" s="45"/>
      <c r="D1496" s="44">
        <v>13</v>
      </c>
      <c r="E1496" s="44"/>
      <c r="F1496" s="44">
        <v>85</v>
      </c>
      <c r="G1496" s="44">
        <v>15</v>
      </c>
      <c r="H1496" s="44">
        <v>17</v>
      </c>
      <c r="I1496" s="44">
        <v>17</v>
      </c>
      <c r="J1496" s="44">
        <v>17</v>
      </c>
      <c r="K1496" s="44">
        <v>17</v>
      </c>
      <c r="L1496" s="44">
        <v>4</v>
      </c>
      <c r="M1496" s="44">
        <v>1</v>
      </c>
      <c r="N1496" s="44">
        <v>4</v>
      </c>
      <c r="O1496" s="44">
        <v>1</v>
      </c>
      <c r="P1496" s="44">
        <v>3</v>
      </c>
      <c r="Q1496" s="54" t="s">
        <v>649</v>
      </c>
      <c r="R1496" s="54">
        <v>10</v>
      </c>
      <c r="S1496" s="55" t="s">
        <v>1337</v>
      </c>
      <c r="T1496" s="56"/>
      <c r="U1496" s="56"/>
      <c r="V1496" s="56"/>
      <c r="W1496" s="56"/>
      <c r="X1496" s="56"/>
      <c r="Y1496" s="56"/>
      <c r="Z1496" s="56"/>
      <c r="AA1496" s="56"/>
      <c r="AB1496" s="56"/>
      <c r="AC1496" s="56"/>
      <c r="AD1496" s="56"/>
      <c r="AE1496" s="56"/>
      <c r="AF1496" s="56"/>
      <c r="AG1496" s="56"/>
      <c r="AH1496" s="56"/>
      <c r="AI1496" s="56"/>
      <c r="AJ1496" s="56"/>
      <c r="AK1496" s="56"/>
      <c r="AL1496" s="56"/>
      <c r="AM1496" s="56"/>
      <c r="AN1496" s="56"/>
      <c r="AO1496" s="56"/>
      <c r="AP1496" s="56"/>
      <c r="AQ1496" s="56"/>
      <c r="AR1496" s="56"/>
      <c r="AS1496" s="56"/>
      <c r="AT1496" s="56"/>
      <c r="AU1496" s="56"/>
      <c r="AV1496" s="56"/>
      <c r="AW1496" s="56"/>
      <c r="AX1496" s="56"/>
      <c r="AY1496" s="56"/>
      <c r="AZ1496" s="56"/>
      <c r="BA1496" s="56"/>
      <c r="BB1496" s="56"/>
      <c r="BC1496" s="56"/>
      <c r="BD1496" s="56"/>
      <c r="BE1496" s="56"/>
      <c r="BF1496" s="56"/>
      <c r="BG1496" s="56"/>
      <c r="BH1496" s="56"/>
      <c r="BI1496" s="56"/>
      <c r="BJ1496" s="56"/>
      <c r="BK1496" s="56"/>
      <c r="BL1496" s="56"/>
      <c r="BM1496" s="56"/>
      <c r="BN1496" s="56"/>
      <c r="BO1496" s="56"/>
      <c r="BP1496" s="56"/>
      <c r="BQ1496" s="56"/>
      <c r="BR1496" s="56"/>
      <c r="BS1496" s="56"/>
      <c r="BT1496" s="56"/>
      <c r="BU1496" s="56"/>
      <c r="BV1496" s="56"/>
      <c r="BW1496" s="56"/>
      <c r="BX1496" s="56"/>
      <c r="BY1496" s="56"/>
      <c r="BZ1496" s="56"/>
      <c r="CA1496" s="56"/>
      <c r="CB1496" s="56"/>
      <c r="CC1496" s="56"/>
      <c r="CD1496" s="56"/>
      <c r="CE1496" s="56"/>
      <c r="CF1496" s="56"/>
      <c r="CG1496" s="56"/>
      <c r="CH1496" s="56"/>
      <c r="CI1496" s="56"/>
      <c r="CJ1496" s="56"/>
      <c r="CK1496" s="56"/>
      <c r="CL1496" s="56"/>
      <c r="CM1496" s="56"/>
      <c r="CN1496" s="56"/>
      <c r="CO1496" s="56"/>
      <c r="CP1496" s="56"/>
      <c r="CQ1496" s="56"/>
      <c r="CR1496" s="56"/>
      <c r="CS1496" s="56"/>
      <c r="CT1496" s="56"/>
      <c r="CU1496" s="56"/>
      <c r="CV1496" s="56"/>
      <c r="CW1496" s="56"/>
      <c r="CX1496" s="56"/>
      <c r="CY1496" s="56"/>
      <c r="CZ1496" s="56"/>
      <c r="DA1496" s="56"/>
      <c r="DB1496" s="56"/>
      <c r="DC1496" s="56"/>
      <c r="DD1496" s="56"/>
      <c r="DE1496" s="56"/>
      <c r="DF1496" s="56"/>
      <c r="DG1496" s="56"/>
      <c r="DH1496" s="56"/>
      <c r="DI1496" s="56"/>
      <c r="DJ1496" s="56"/>
      <c r="DK1496" s="56"/>
      <c r="DL1496" s="56"/>
      <c r="DM1496" s="56"/>
      <c r="DN1496" s="56"/>
      <c r="DO1496" s="56"/>
      <c r="DP1496" s="56"/>
      <c r="DQ1496" s="56"/>
      <c r="DR1496" s="56"/>
      <c r="DS1496" s="56"/>
      <c r="DT1496" s="56"/>
      <c r="DU1496" s="56"/>
      <c r="DV1496" s="56"/>
      <c r="DW1496" s="56"/>
      <c r="DX1496" s="56"/>
      <c r="DY1496" s="56"/>
      <c r="DZ1496" s="56"/>
      <c r="EA1496" s="56"/>
      <c r="EB1496" s="56"/>
      <c r="EC1496" s="56"/>
      <c r="ED1496" s="56"/>
      <c r="EE1496" s="56"/>
      <c r="EF1496" s="56"/>
      <c r="EG1496" s="56"/>
      <c r="EH1496" s="56"/>
      <c r="EI1496" s="56"/>
      <c r="EJ1496" s="56"/>
      <c r="EK1496" s="56"/>
      <c r="EL1496" s="56"/>
      <c r="EM1496" s="56"/>
      <c r="EN1496" s="56"/>
      <c r="EO1496" s="56"/>
      <c r="EP1496" s="56"/>
      <c r="EQ1496" s="56"/>
      <c r="ER1496" s="56"/>
      <c r="ES1496" s="56"/>
      <c r="ET1496" s="56"/>
      <c r="EU1496" s="56"/>
      <c r="EV1496" s="56"/>
      <c r="EW1496" s="56"/>
      <c r="EX1496" s="56"/>
      <c r="EY1496" s="56"/>
      <c r="EZ1496" s="56"/>
      <c r="FA1496" s="56"/>
      <c r="FB1496" s="56"/>
      <c r="FC1496" s="56"/>
      <c r="FD1496" s="56"/>
      <c r="FE1496" s="56"/>
      <c r="FF1496" s="56"/>
      <c r="FG1496" s="56"/>
      <c r="FH1496" s="56"/>
      <c r="FI1496" s="56"/>
      <c r="FJ1496" s="56"/>
      <c r="FK1496" s="56"/>
      <c r="FL1496" s="56"/>
      <c r="FM1496" s="56"/>
      <c r="FN1496" s="56"/>
      <c r="FO1496" s="56"/>
      <c r="FP1496" s="56"/>
      <c r="FQ1496" s="56"/>
      <c r="FR1496" s="56"/>
      <c r="FS1496" s="56"/>
      <c r="FT1496" s="56"/>
      <c r="FU1496" s="56"/>
      <c r="FV1496" s="56"/>
      <c r="FW1496" s="56"/>
      <c r="FX1496" s="56"/>
      <c r="FY1496" s="56"/>
      <c r="FZ1496" s="56"/>
      <c r="GA1496" s="56"/>
      <c r="GB1496" s="56"/>
      <c r="GC1496" s="56"/>
      <c r="GD1496" s="56"/>
      <c r="GE1496" s="56"/>
      <c r="GF1496" s="56"/>
    </row>
    <row r="1497" spans="1:57" s="43" customFormat="1" ht="15.75">
      <c r="A1497" s="13"/>
      <c r="B1497" s="104" t="s">
        <v>669</v>
      </c>
      <c r="C1497" s="15"/>
      <c r="D1497" s="40"/>
      <c r="E1497" s="40"/>
      <c r="F1497" s="40"/>
      <c r="G1497" s="40"/>
      <c r="H1497" s="40"/>
      <c r="I1497" s="40"/>
      <c r="J1497" s="40"/>
      <c r="K1497" s="40"/>
      <c r="L1497" s="60">
        <v>3</v>
      </c>
      <c r="M1497" s="60">
        <v>1</v>
      </c>
      <c r="N1497" s="60">
        <v>1</v>
      </c>
      <c r="O1497" s="60"/>
      <c r="P1497" s="60">
        <v>1</v>
      </c>
      <c r="Q1497" s="70"/>
      <c r="R1497" s="41"/>
      <c r="S1497" s="41"/>
      <c r="T1497" s="46"/>
      <c r="U1497" s="46"/>
      <c r="V1497" s="46"/>
      <c r="W1497" s="46"/>
      <c r="X1497" s="46"/>
      <c r="Y1497" s="46"/>
      <c r="Z1497" s="46"/>
      <c r="AA1497" s="46"/>
      <c r="AB1497" s="46"/>
      <c r="AC1497" s="46"/>
      <c r="AD1497" s="46"/>
      <c r="AE1497" s="46"/>
      <c r="AF1497" s="46"/>
      <c r="AG1497" s="46"/>
      <c r="AH1497" s="46"/>
      <c r="AI1497" s="46"/>
      <c r="AJ1497" s="46"/>
      <c r="AK1497" s="46"/>
      <c r="AL1497" s="46"/>
      <c r="AM1497" s="46"/>
      <c r="AN1497" s="46"/>
      <c r="AO1497" s="46"/>
      <c r="AP1497" s="46"/>
      <c r="AQ1497" s="46"/>
      <c r="AR1497" s="46"/>
      <c r="AS1497" s="46"/>
      <c r="AT1497" s="46"/>
      <c r="AU1497" s="46"/>
      <c r="AV1497" s="46"/>
      <c r="BA1497" s="49"/>
      <c r="BB1497" s="42"/>
      <c r="BC1497" s="42"/>
      <c r="BD1497" s="42"/>
      <c r="BE1497" s="42"/>
    </row>
    <row r="1498" spans="1:57" s="43" customFormat="1" ht="15.75" customHeight="1">
      <c r="A1498" s="13"/>
      <c r="B1498" s="105" t="s">
        <v>927</v>
      </c>
      <c r="C1498" s="15" t="s">
        <v>1029</v>
      </c>
      <c r="D1498" s="40"/>
      <c r="E1498" s="40"/>
      <c r="F1498" s="40">
        <v>16</v>
      </c>
      <c r="G1498" s="40">
        <v>1</v>
      </c>
      <c r="H1498" s="40">
        <v>1</v>
      </c>
      <c r="I1498" s="40">
        <v>1</v>
      </c>
      <c r="J1498" s="40">
        <v>1</v>
      </c>
      <c r="K1498" s="40">
        <v>1</v>
      </c>
      <c r="L1498" s="40">
        <v>1</v>
      </c>
      <c r="M1498" s="40"/>
      <c r="N1498" s="40"/>
      <c r="O1498" s="40"/>
      <c r="P1498" s="40"/>
      <c r="Q1498" s="70"/>
      <c r="R1498" s="41"/>
      <c r="S1498" s="41"/>
      <c r="T1498" s="46"/>
      <c r="U1498" s="46"/>
      <c r="V1498" s="46"/>
      <c r="W1498" s="46"/>
      <c r="X1498" s="46"/>
      <c r="Y1498" s="46"/>
      <c r="Z1498" s="46"/>
      <c r="AA1498" s="46"/>
      <c r="AB1498" s="46"/>
      <c r="AC1498" s="46"/>
      <c r="AD1498" s="46"/>
      <c r="AE1498" s="46"/>
      <c r="AF1498" s="46"/>
      <c r="AG1498" s="46"/>
      <c r="AH1498" s="46"/>
      <c r="AI1498" s="46"/>
      <c r="AJ1498" s="46"/>
      <c r="AK1498" s="46"/>
      <c r="AL1498" s="46"/>
      <c r="AM1498" s="46"/>
      <c r="AN1498" s="46"/>
      <c r="AO1498" s="46"/>
      <c r="AP1498" s="46"/>
      <c r="AQ1498" s="46"/>
      <c r="AR1498" s="46"/>
      <c r="AS1498" s="46"/>
      <c r="AT1498" s="46"/>
      <c r="AU1498" s="46"/>
      <c r="AV1498" s="46"/>
      <c r="BA1498" s="49"/>
      <c r="BB1498" s="42"/>
      <c r="BC1498" s="42"/>
      <c r="BD1498" s="42"/>
      <c r="BE1498" s="42"/>
    </row>
    <row r="1499" spans="1:57" s="43" customFormat="1" ht="17.25" customHeight="1">
      <c r="A1499" s="13"/>
      <c r="B1499" s="97" t="s">
        <v>560</v>
      </c>
      <c r="C1499" s="15" t="s">
        <v>1319</v>
      </c>
      <c r="D1499" s="40"/>
      <c r="E1499" s="40"/>
      <c r="F1499" s="40"/>
      <c r="G1499" s="40">
        <v>2</v>
      </c>
      <c r="H1499" s="40">
        <v>2</v>
      </c>
      <c r="I1499" s="40">
        <v>2</v>
      </c>
      <c r="J1499" s="40">
        <v>2</v>
      </c>
      <c r="K1499" s="40">
        <v>2</v>
      </c>
      <c r="L1499" s="40">
        <v>1</v>
      </c>
      <c r="M1499" s="40">
        <v>1</v>
      </c>
      <c r="N1499" s="40"/>
      <c r="O1499" s="40"/>
      <c r="P1499" s="40"/>
      <c r="Q1499" s="70"/>
      <c r="R1499" s="41"/>
      <c r="S1499" s="41"/>
      <c r="T1499" s="46"/>
      <c r="U1499" s="46"/>
      <c r="V1499" s="46"/>
      <c r="W1499" s="46"/>
      <c r="X1499" s="46"/>
      <c r="Y1499" s="46"/>
      <c r="Z1499" s="46"/>
      <c r="AA1499" s="46"/>
      <c r="AB1499" s="46"/>
      <c r="AC1499" s="46"/>
      <c r="AD1499" s="46"/>
      <c r="AE1499" s="46"/>
      <c r="AF1499" s="46"/>
      <c r="AG1499" s="46"/>
      <c r="AH1499" s="46"/>
      <c r="AI1499" s="46"/>
      <c r="AJ1499" s="46"/>
      <c r="AK1499" s="46"/>
      <c r="AL1499" s="46"/>
      <c r="AM1499" s="46"/>
      <c r="AN1499" s="46"/>
      <c r="AO1499" s="46"/>
      <c r="AP1499" s="46"/>
      <c r="AQ1499" s="46"/>
      <c r="AR1499" s="46"/>
      <c r="AS1499" s="46"/>
      <c r="AT1499" s="46"/>
      <c r="AU1499" s="46"/>
      <c r="AV1499" s="46"/>
      <c r="BA1499" s="49"/>
      <c r="BB1499" s="42"/>
      <c r="BC1499" s="42"/>
      <c r="BD1499" s="42"/>
      <c r="BE1499" s="42"/>
    </row>
    <row r="1500" spans="1:57" s="43" customFormat="1" ht="17.25" customHeight="1">
      <c r="A1500" s="13"/>
      <c r="B1500" s="111" t="s">
        <v>748</v>
      </c>
      <c r="C1500" s="15" t="s">
        <v>749</v>
      </c>
      <c r="D1500" s="40"/>
      <c r="E1500" s="40"/>
      <c r="F1500" s="40">
        <v>3</v>
      </c>
      <c r="G1500" s="40">
        <v>6</v>
      </c>
      <c r="H1500" s="40">
        <v>8</v>
      </c>
      <c r="I1500" s="40">
        <v>8</v>
      </c>
      <c r="J1500" s="40">
        <v>8</v>
      </c>
      <c r="K1500" s="40">
        <v>8</v>
      </c>
      <c r="L1500" s="40">
        <v>1</v>
      </c>
      <c r="M1500" s="40"/>
      <c r="N1500" s="40">
        <v>1</v>
      </c>
      <c r="O1500" s="40"/>
      <c r="P1500" s="40">
        <v>1</v>
      </c>
      <c r="Q1500" s="70"/>
      <c r="R1500" s="41"/>
      <c r="S1500" s="41"/>
      <c r="T1500" s="46"/>
      <c r="U1500" s="46"/>
      <c r="V1500" s="46"/>
      <c r="W1500" s="46"/>
      <c r="X1500" s="46"/>
      <c r="Y1500" s="46"/>
      <c r="Z1500" s="46"/>
      <c r="AA1500" s="46"/>
      <c r="AB1500" s="46"/>
      <c r="AC1500" s="46"/>
      <c r="AD1500" s="46"/>
      <c r="AE1500" s="46"/>
      <c r="AF1500" s="46"/>
      <c r="AG1500" s="46"/>
      <c r="AH1500" s="46"/>
      <c r="AI1500" s="46"/>
      <c r="AJ1500" s="46"/>
      <c r="AK1500" s="46"/>
      <c r="AL1500" s="46"/>
      <c r="AM1500" s="46"/>
      <c r="AN1500" s="46"/>
      <c r="AO1500" s="46"/>
      <c r="AP1500" s="46"/>
      <c r="AQ1500" s="46"/>
      <c r="AR1500" s="46"/>
      <c r="AS1500" s="46"/>
      <c r="AT1500" s="46"/>
      <c r="AU1500" s="46"/>
      <c r="AV1500" s="46"/>
      <c r="BA1500" s="49"/>
      <c r="BB1500" s="42"/>
      <c r="BC1500" s="42"/>
      <c r="BD1500" s="42"/>
      <c r="BE1500" s="42"/>
    </row>
    <row r="1501" spans="1:57" s="43" customFormat="1" ht="15.75">
      <c r="A1501" s="13"/>
      <c r="B1501" s="93" t="s">
        <v>37</v>
      </c>
      <c r="C1501" s="15"/>
      <c r="D1501" s="40"/>
      <c r="E1501" s="40"/>
      <c r="F1501" s="40"/>
      <c r="G1501" s="40"/>
      <c r="H1501" s="40"/>
      <c r="I1501" s="40"/>
      <c r="J1501" s="40"/>
      <c r="K1501" s="40"/>
      <c r="L1501" s="60">
        <f>SUM(L1502:L1505)</f>
        <v>1</v>
      </c>
      <c r="M1501" s="60"/>
      <c r="N1501" s="60">
        <f>SUM(N1502:N1505)</f>
        <v>3</v>
      </c>
      <c r="O1501" s="60">
        <f>SUM(O1502:O1505)</f>
        <v>1</v>
      </c>
      <c r="P1501" s="60">
        <f>SUM(P1502:P1505)</f>
        <v>2</v>
      </c>
      <c r="Q1501" s="70"/>
      <c r="R1501" s="41"/>
      <c r="S1501" s="41"/>
      <c r="T1501" s="46"/>
      <c r="U1501" s="46"/>
      <c r="V1501" s="46"/>
      <c r="W1501" s="46"/>
      <c r="X1501" s="46"/>
      <c r="Y1501" s="46"/>
      <c r="Z1501" s="46"/>
      <c r="AA1501" s="46"/>
      <c r="AB1501" s="46"/>
      <c r="AC1501" s="46"/>
      <c r="AD1501" s="46"/>
      <c r="AE1501" s="46"/>
      <c r="AF1501" s="46"/>
      <c r="AG1501" s="46"/>
      <c r="AH1501" s="46"/>
      <c r="AI1501" s="46"/>
      <c r="AJ1501" s="46"/>
      <c r="AK1501" s="46"/>
      <c r="AL1501" s="46"/>
      <c r="AM1501" s="46"/>
      <c r="AN1501" s="46"/>
      <c r="AO1501" s="46"/>
      <c r="AP1501" s="46"/>
      <c r="AQ1501" s="46"/>
      <c r="AR1501" s="46"/>
      <c r="AS1501" s="46"/>
      <c r="AT1501" s="46"/>
      <c r="AU1501" s="46"/>
      <c r="AV1501" s="46"/>
      <c r="BA1501" s="49"/>
      <c r="BB1501" s="42"/>
      <c r="BC1501" s="42"/>
      <c r="BD1501" s="42"/>
      <c r="BE1501" s="42"/>
    </row>
    <row r="1502" spans="1:57" s="43" customFormat="1" ht="16.5" customHeight="1">
      <c r="A1502" s="12"/>
      <c r="B1502" s="97" t="s">
        <v>38</v>
      </c>
      <c r="C1502" s="66" t="s">
        <v>457</v>
      </c>
      <c r="D1502" s="51"/>
      <c r="E1502" s="51"/>
      <c r="F1502" s="51" t="s">
        <v>556</v>
      </c>
      <c r="G1502" s="51">
        <v>2</v>
      </c>
      <c r="H1502" s="51">
        <v>2</v>
      </c>
      <c r="I1502" s="51">
        <v>2</v>
      </c>
      <c r="J1502" s="51">
        <v>2</v>
      </c>
      <c r="K1502" s="51">
        <v>2</v>
      </c>
      <c r="L1502" s="40"/>
      <c r="M1502" s="40"/>
      <c r="N1502" s="40">
        <v>1</v>
      </c>
      <c r="O1502" s="40"/>
      <c r="P1502" s="40">
        <v>1</v>
      </c>
      <c r="Q1502" s="70"/>
      <c r="R1502" s="41"/>
      <c r="S1502" s="41"/>
      <c r="T1502" s="46"/>
      <c r="U1502" s="46"/>
      <c r="V1502" s="46"/>
      <c r="W1502" s="46"/>
      <c r="X1502" s="46"/>
      <c r="Y1502" s="46"/>
      <c r="Z1502" s="46"/>
      <c r="AA1502" s="46"/>
      <c r="AB1502" s="46"/>
      <c r="AC1502" s="46"/>
      <c r="AD1502" s="46"/>
      <c r="AE1502" s="46"/>
      <c r="AF1502" s="46"/>
      <c r="AG1502" s="46"/>
      <c r="AH1502" s="46"/>
      <c r="AI1502" s="46"/>
      <c r="AJ1502" s="46"/>
      <c r="AK1502" s="46"/>
      <c r="AL1502" s="46"/>
      <c r="AM1502" s="46"/>
      <c r="AN1502" s="46"/>
      <c r="AO1502" s="46"/>
      <c r="AP1502" s="46"/>
      <c r="AQ1502" s="46"/>
      <c r="AR1502" s="46"/>
      <c r="AS1502" s="46"/>
      <c r="AT1502" s="46"/>
      <c r="AU1502" s="46"/>
      <c r="AV1502" s="46"/>
      <c r="BA1502" s="49"/>
      <c r="BB1502" s="42"/>
      <c r="BC1502" s="42"/>
      <c r="BD1502" s="42"/>
      <c r="BE1502" s="42"/>
    </row>
    <row r="1503" spans="1:48" s="43" customFormat="1" ht="15" customHeight="1">
      <c r="A1503" s="12"/>
      <c r="B1503" s="109" t="s">
        <v>71</v>
      </c>
      <c r="C1503" s="66" t="s">
        <v>41</v>
      </c>
      <c r="D1503" s="51"/>
      <c r="E1503" s="51"/>
      <c r="F1503" s="51"/>
      <c r="G1503" s="51">
        <v>1</v>
      </c>
      <c r="H1503" s="51">
        <v>1</v>
      </c>
      <c r="I1503" s="51">
        <v>1</v>
      </c>
      <c r="J1503" s="51">
        <v>1</v>
      </c>
      <c r="K1503" s="51">
        <v>1</v>
      </c>
      <c r="L1503" s="40">
        <v>1</v>
      </c>
      <c r="M1503" s="40"/>
      <c r="N1503" s="40">
        <v>1</v>
      </c>
      <c r="O1503" s="40"/>
      <c r="P1503" s="40">
        <v>1</v>
      </c>
      <c r="Q1503" s="70"/>
      <c r="R1503" s="70"/>
      <c r="S1503" s="70"/>
      <c r="T1503" s="46"/>
      <c r="U1503" s="46"/>
      <c r="V1503" s="46"/>
      <c r="W1503" s="46"/>
      <c r="X1503" s="46"/>
      <c r="Y1503" s="46"/>
      <c r="Z1503" s="46"/>
      <c r="AA1503" s="46"/>
      <c r="AB1503" s="46"/>
      <c r="AC1503" s="46"/>
      <c r="AD1503" s="46"/>
      <c r="AE1503" s="46"/>
      <c r="AF1503" s="46"/>
      <c r="AG1503" s="46"/>
      <c r="AH1503" s="46"/>
      <c r="AI1503" s="46"/>
      <c r="AJ1503" s="46"/>
      <c r="AK1503" s="46"/>
      <c r="AL1503" s="46"/>
      <c r="AM1503" s="46"/>
      <c r="AN1503" s="46"/>
      <c r="AO1503" s="46"/>
      <c r="AP1503" s="46"/>
      <c r="AQ1503" s="46"/>
      <c r="AR1503" s="46"/>
      <c r="AS1503" s="46"/>
      <c r="AT1503" s="46"/>
      <c r="AU1503" s="46"/>
      <c r="AV1503" s="46"/>
    </row>
    <row r="1504" spans="1:48" s="43" customFormat="1" ht="30">
      <c r="A1504" s="12"/>
      <c r="B1504" s="105" t="s">
        <v>895</v>
      </c>
      <c r="C1504" s="15" t="s">
        <v>896</v>
      </c>
      <c r="D1504" s="51"/>
      <c r="E1504" s="51"/>
      <c r="F1504" s="51"/>
      <c r="G1504" s="51">
        <v>1</v>
      </c>
      <c r="H1504" s="51">
        <v>1</v>
      </c>
      <c r="I1504" s="51">
        <v>1</v>
      </c>
      <c r="J1504" s="51">
        <v>1</v>
      </c>
      <c r="K1504" s="51">
        <v>1</v>
      </c>
      <c r="L1504" s="40"/>
      <c r="M1504" s="40"/>
      <c r="N1504" s="40">
        <v>1</v>
      </c>
      <c r="O1504" s="40"/>
      <c r="P1504" s="40"/>
      <c r="Q1504" s="70"/>
      <c r="R1504" s="70"/>
      <c r="S1504" s="70"/>
      <c r="T1504" s="46"/>
      <c r="U1504" s="46"/>
      <c r="V1504" s="46"/>
      <c r="W1504" s="46"/>
      <c r="X1504" s="46"/>
      <c r="Y1504" s="46"/>
      <c r="Z1504" s="46"/>
      <c r="AA1504" s="46"/>
      <c r="AB1504" s="46"/>
      <c r="AC1504" s="46"/>
      <c r="AD1504" s="46"/>
      <c r="AE1504" s="46"/>
      <c r="AF1504" s="46"/>
      <c r="AG1504" s="46"/>
      <c r="AH1504" s="46"/>
      <c r="AI1504" s="46"/>
      <c r="AJ1504" s="46"/>
      <c r="AK1504" s="46"/>
      <c r="AL1504" s="46"/>
      <c r="AM1504" s="46"/>
      <c r="AN1504" s="46"/>
      <c r="AO1504" s="46"/>
      <c r="AP1504" s="46"/>
      <c r="AQ1504" s="46"/>
      <c r="AR1504" s="46"/>
      <c r="AS1504" s="46"/>
      <c r="AT1504" s="46"/>
      <c r="AU1504" s="46"/>
      <c r="AV1504" s="46"/>
    </row>
    <row r="1505" spans="1:48" s="43" customFormat="1" ht="15.75">
      <c r="A1505" s="12"/>
      <c r="B1505" s="109" t="s">
        <v>114</v>
      </c>
      <c r="C1505" s="66" t="s">
        <v>113</v>
      </c>
      <c r="D1505" s="51"/>
      <c r="E1505" s="51"/>
      <c r="F1505" s="51"/>
      <c r="G1505" s="51">
        <v>1</v>
      </c>
      <c r="H1505" s="51">
        <v>1</v>
      </c>
      <c r="I1505" s="51">
        <v>1</v>
      </c>
      <c r="J1505" s="51">
        <v>1</v>
      </c>
      <c r="K1505" s="51">
        <v>1</v>
      </c>
      <c r="L1505" s="40"/>
      <c r="M1505" s="40"/>
      <c r="N1505" s="40"/>
      <c r="O1505" s="40">
        <v>1</v>
      </c>
      <c r="P1505" s="40"/>
      <c r="Q1505" s="70"/>
      <c r="R1505" s="70"/>
      <c r="S1505" s="70"/>
      <c r="T1505" s="46"/>
      <c r="U1505" s="46"/>
      <c r="V1505" s="46"/>
      <c r="W1505" s="46"/>
      <c r="X1505" s="46"/>
      <c r="Y1505" s="46"/>
      <c r="Z1505" s="46"/>
      <c r="AA1505" s="46"/>
      <c r="AB1505" s="46"/>
      <c r="AC1505" s="46"/>
      <c r="AD1505" s="46"/>
      <c r="AE1505" s="46"/>
      <c r="AF1505" s="46"/>
      <c r="AG1505" s="46"/>
      <c r="AH1505" s="46"/>
      <c r="AI1505" s="46"/>
      <c r="AJ1505" s="46"/>
      <c r="AK1505" s="46"/>
      <c r="AL1505" s="46"/>
      <c r="AM1505" s="46"/>
      <c r="AN1505" s="46"/>
      <c r="AO1505" s="46"/>
      <c r="AP1505" s="46"/>
      <c r="AQ1505" s="46"/>
      <c r="AR1505" s="46"/>
      <c r="AS1505" s="46"/>
      <c r="AT1505" s="46"/>
      <c r="AU1505" s="46"/>
      <c r="AV1505" s="46"/>
    </row>
    <row r="1506" spans="1:188" s="57" customFormat="1" ht="19.5" customHeight="1">
      <c r="A1506" s="13">
        <v>88</v>
      </c>
      <c r="B1506" s="92" t="s">
        <v>333</v>
      </c>
      <c r="C1506" s="45"/>
      <c r="D1506" s="44">
        <v>57</v>
      </c>
      <c r="E1506" s="44">
        <v>6</v>
      </c>
      <c r="F1506" s="44">
        <v>85</v>
      </c>
      <c r="G1506" s="44">
        <v>86</v>
      </c>
      <c r="H1506" s="44">
        <v>87</v>
      </c>
      <c r="I1506" s="44">
        <v>87</v>
      </c>
      <c r="J1506" s="44"/>
      <c r="K1506" s="44">
        <v>88</v>
      </c>
      <c r="L1506" s="44">
        <v>2</v>
      </c>
      <c r="M1506" s="44">
        <f>M1507</f>
        <v>1</v>
      </c>
      <c r="N1506" s="44">
        <v>1</v>
      </c>
      <c r="O1506" s="44">
        <v>1</v>
      </c>
      <c r="P1506" s="44">
        <f>P1507</f>
        <v>1</v>
      </c>
      <c r="Q1506" s="54" t="s">
        <v>649</v>
      </c>
      <c r="R1506" s="54">
        <v>10</v>
      </c>
      <c r="S1506" s="55" t="s">
        <v>1337</v>
      </c>
      <c r="T1506" s="56"/>
      <c r="U1506" s="56"/>
      <c r="V1506" s="56"/>
      <c r="W1506" s="56"/>
      <c r="X1506" s="56"/>
      <c r="Y1506" s="56"/>
      <c r="Z1506" s="56"/>
      <c r="AA1506" s="56"/>
      <c r="AB1506" s="56"/>
      <c r="AC1506" s="56"/>
      <c r="AD1506" s="56"/>
      <c r="AE1506" s="56"/>
      <c r="AF1506" s="56"/>
      <c r="AG1506" s="56"/>
      <c r="AH1506" s="56"/>
      <c r="AI1506" s="56"/>
      <c r="AJ1506" s="56"/>
      <c r="AK1506" s="56"/>
      <c r="AL1506" s="56"/>
      <c r="AM1506" s="56"/>
      <c r="AN1506" s="56"/>
      <c r="AO1506" s="56"/>
      <c r="AP1506" s="56"/>
      <c r="AQ1506" s="56"/>
      <c r="AR1506" s="56"/>
      <c r="AS1506" s="56"/>
      <c r="AT1506" s="56"/>
      <c r="AU1506" s="56"/>
      <c r="AV1506" s="56"/>
      <c r="AW1506" s="56"/>
      <c r="AX1506" s="56"/>
      <c r="AY1506" s="56"/>
      <c r="AZ1506" s="56"/>
      <c r="BA1506" s="56"/>
      <c r="BB1506" s="56"/>
      <c r="BC1506" s="56"/>
      <c r="BD1506" s="56"/>
      <c r="BE1506" s="56"/>
      <c r="BF1506" s="56"/>
      <c r="BG1506" s="56"/>
      <c r="BH1506" s="56"/>
      <c r="BI1506" s="56"/>
      <c r="BJ1506" s="56"/>
      <c r="BK1506" s="56"/>
      <c r="BL1506" s="56"/>
      <c r="BM1506" s="56"/>
      <c r="BN1506" s="56"/>
      <c r="BO1506" s="56"/>
      <c r="BP1506" s="56"/>
      <c r="BQ1506" s="56"/>
      <c r="BR1506" s="56"/>
      <c r="BS1506" s="56"/>
      <c r="BT1506" s="56"/>
      <c r="BU1506" s="56"/>
      <c r="BV1506" s="56"/>
      <c r="BW1506" s="56"/>
      <c r="BX1506" s="56"/>
      <c r="BY1506" s="56"/>
      <c r="BZ1506" s="56"/>
      <c r="CA1506" s="56"/>
      <c r="CB1506" s="56"/>
      <c r="CC1506" s="56"/>
      <c r="CD1506" s="56"/>
      <c r="CE1506" s="56"/>
      <c r="CF1506" s="56"/>
      <c r="CG1506" s="56"/>
      <c r="CH1506" s="56"/>
      <c r="CI1506" s="56"/>
      <c r="CJ1506" s="56"/>
      <c r="CK1506" s="56"/>
      <c r="CL1506" s="56"/>
      <c r="CM1506" s="56"/>
      <c r="CN1506" s="56"/>
      <c r="CO1506" s="56"/>
      <c r="CP1506" s="56"/>
      <c r="CQ1506" s="56"/>
      <c r="CR1506" s="56"/>
      <c r="CS1506" s="56"/>
      <c r="CT1506" s="56"/>
      <c r="CU1506" s="56"/>
      <c r="CV1506" s="56"/>
      <c r="CW1506" s="56"/>
      <c r="CX1506" s="56"/>
      <c r="CY1506" s="56"/>
      <c r="CZ1506" s="56"/>
      <c r="DA1506" s="56"/>
      <c r="DB1506" s="56"/>
      <c r="DC1506" s="56"/>
      <c r="DD1506" s="56"/>
      <c r="DE1506" s="56"/>
      <c r="DF1506" s="56"/>
      <c r="DG1506" s="56"/>
      <c r="DH1506" s="56"/>
      <c r="DI1506" s="56"/>
      <c r="DJ1506" s="56"/>
      <c r="DK1506" s="56"/>
      <c r="DL1506" s="56"/>
      <c r="DM1506" s="56"/>
      <c r="DN1506" s="56"/>
      <c r="DO1506" s="56"/>
      <c r="DP1506" s="56"/>
      <c r="DQ1506" s="56"/>
      <c r="DR1506" s="56"/>
      <c r="DS1506" s="56"/>
      <c r="DT1506" s="56"/>
      <c r="DU1506" s="56"/>
      <c r="DV1506" s="56"/>
      <c r="DW1506" s="56"/>
      <c r="DX1506" s="56"/>
      <c r="DY1506" s="56"/>
      <c r="DZ1506" s="56"/>
      <c r="EA1506" s="56"/>
      <c r="EB1506" s="56"/>
      <c r="EC1506" s="56"/>
      <c r="ED1506" s="56"/>
      <c r="EE1506" s="56"/>
      <c r="EF1506" s="56"/>
      <c r="EG1506" s="56"/>
      <c r="EH1506" s="56"/>
      <c r="EI1506" s="56"/>
      <c r="EJ1506" s="56"/>
      <c r="EK1506" s="56"/>
      <c r="EL1506" s="56"/>
      <c r="EM1506" s="56"/>
      <c r="EN1506" s="56"/>
      <c r="EO1506" s="56"/>
      <c r="EP1506" s="56"/>
      <c r="EQ1506" s="56"/>
      <c r="ER1506" s="56"/>
      <c r="ES1506" s="56"/>
      <c r="ET1506" s="56"/>
      <c r="EU1506" s="56"/>
      <c r="EV1506" s="56"/>
      <c r="EW1506" s="56"/>
      <c r="EX1506" s="56"/>
      <c r="EY1506" s="56"/>
      <c r="EZ1506" s="56"/>
      <c r="FA1506" s="56"/>
      <c r="FB1506" s="56"/>
      <c r="FC1506" s="56"/>
      <c r="FD1506" s="56"/>
      <c r="FE1506" s="56"/>
      <c r="FF1506" s="56"/>
      <c r="FG1506" s="56"/>
      <c r="FH1506" s="56"/>
      <c r="FI1506" s="56"/>
      <c r="FJ1506" s="56"/>
      <c r="FK1506" s="56"/>
      <c r="FL1506" s="56"/>
      <c r="FM1506" s="56"/>
      <c r="FN1506" s="56"/>
      <c r="FO1506" s="56"/>
      <c r="FP1506" s="56"/>
      <c r="FQ1506" s="56"/>
      <c r="FR1506" s="56"/>
      <c r="FS1506" s="56"/>
      <c r="FT1506" s="56"/>
      <c r="FU1506" s="56"/>
      <c r="FV1506" s="56"/>
      <c r="FW1506" s="56"/>
      <c r="FX1506" s="56"/>
      <c r="FY1506" s="56"/>
      <c r="FZ1506" s="56"/>
      <c r="GA1506" s="56"/>
      <c r="GB1506" s="56"/>
      <c r="GC1506" s="56"/>
      <c r="GD1506" s="56"/>
      <c r="GE1506" s="56"/>
      <c r="GF1506" s="56"/>
    </row>
    <row r="1507" spans="1:57" s="43" customFormat="1" ht="15.75">
      <c r="A1507" s="13"/>
      <c r="B1507" s="104" t="s">
        <v>669</v>
      </c>
      <c r="C1507" s="15"/>
      <c r="D1507" s="40"/>
      <c r="E1507" s="40"/>
      <c r="F1507" s="40"/>
      <c r="G1507" s="40"/>
      <c r="H1507" s="40"/>
      <c r="I1507" s="40"/>
      <c r="J1507" s="40"/>
      <c r="K1507" s="40"/>
      <c r="L1507" s="60">
        <f>SUM(L1508:L1509)</f>
        <v>1</v>
      </c>
      <c r="M1507" s="60">
        <f>SUM(M1508:M1509)</f>
        <v>1</v>
      </c>
      <c r="N1507" s="60"/>
      <c r="O1507" s="60"/>
      <c r="P1507" s="60">
        <f>SUM(P1508:P1509)</f>
        <v>1</v>
      </c>
      <c r="Q1507" s="70"/>
      <c r="R1507" s="41"/>
      <c r="S1507" s="41"/>
      <c r="T1507" s="46"/>
      <c r="U1507" s="46"/>
      <c r="V1507" s="46"/>
      <c r="W1507" s="46"/>
      <c r="X1507" s="46"/>
      <c r="Y1507" s="46"/>
      <c r="Z1507" s="46"/>
      <c r="AA1507" s="46"/>
      <c r="AB1507" s="46"/>
      <c r="AC1507" s="46"/>
      <c r="AD1507" s="46"/>
      <c r="AE1507" s="46"/>
      <c r="AF1507" s="46"/>
      <c r="AG1507" s="46"/>
      <c r="AH1507" s="46"/>
      <c r="AI1507" s="46"/>
      <c r="AJ1507" s="46"/>
      <c r="AK1507" s="46"/>
      <c r="AL1507" s="46"/>
      <c r="AM1507" s="46"/>
      <c r="AN1507" s="46"/>
      <c r="AO1507" s="46"/>
      <c r="AP1507" s="46"/>
      <c r="AQ1507" s="46"/>
      <c r="AR1507" s="46"/>
      <c r="AS1507" s="46"/>
      <c r="AT1507" s="46"/>
      <c r="AU1507" s="46"/>
      <c r="AV1507" s="46"/>
      <c r="BA1507" s="49"/>
      <c r="BB1507" s="42"/>
      <c r="BC1507" s="42"/>
      <c r="BD1507" s="42"/>
      <c r="BE1507" s="42"/>
    </row>
    <row r="1508" spans="1:57" s="43" customFormat="1" ht="15.75">
      <c r="A1508" s="13"/>
      <c r="B1508" s="105" t="s">
        <v>748</v>
      </c>
      <c r="C1508" s="15">
        <v>17040021</v>
      </c>
      <c r="D1508" s="40"/>
      <c r="E1508" s="40"/>
      <c r="F1508" s="40">
        <v>16</v>
      </c>
      <c r="G1508" s="40">
        <v>16</v>
      </c>
      <c r="H1508" s="40">
        <v>16</v>
      </c>
      <c r="I1508" s="40">
        <v>17</v>
      </c>
      <c r="J1508" s="40"/>
      <c r="K1508" s="40">
        <v>20</v>
      </c>
      <c r="L1508" s="40">
        <v>1</v>
      </c>
      <c r="M1508" s="40"/>
      <c r="N1508" s="40"/>
      <c r="O1508" s="40"/>
      <c r="P1508" s="40">
        <v>1</v>
      </c>
      <c r="Q1508" s="70"/>
      <c r="R1508" s="41"/>
      <c r="S1508" s="41"/>
      <c r="T1508" s="46"/>
      <c r="U1508" s="46"/>
      <c r="V1508" s="46"/>
      <c r="W1508" s="46"/>
      <c r="X1508" s="46"/>
      <c r="Y1508" s="46"/>
      <c r="Z1508" s="46"/>
      <c r="AA1508" s="46"/>
      <c r="AB1508" s="46"/>
      <c r="AC1508" s="46"/>
      <c r="AD1508" s="46"/>
      <c r="AE1508" s="46"/>
      <c r="AF1508" s="46"/>
      <c r="AG1508" s="46"/>
      <c r="AH1508" s="46"/>
      <c r="AI1508" s="46"/>
      <c r="AJ1508" s="46"/>
      <c r="AK1508" s="46"/>
      <c r="AL1508" s="46"/>
      <c r="AM1508" s="46"/>
      <c r="AN1508" s="46"/>
      <c r="AO1508" s="46"/>
      <c r="AP1508" s="46"/>
      <c r="AQ1508" s="46"/>
      <c r="AR1508" s="46"/>
      <c r="AS1508" s="46"/>
      <c r="AT1508" s="46"/>
      <c r="AU1508" s="46"/>
      <c r="AV1508" s="46"/>
      <c r="BA1508" s="49"/>
      <c r="BB1508" s="42"/>
      <c r="BC1508" s="42"/>
      <c r="BD1508" s="42"/>
      <c r="BE1508" s="42"/>
    </row>
    <row r="1509" spans="1:57" s="43" customFormat="1" ht="17.25" customHeight="1">
      <c r="A1509" s="13"/>
      <c r="B1509" s="97" t="s">
        <v>599</v>
      </c>
      <c r="C1509" s="15" t="s">
        <v>600</v>
      </c>
      <c r="D1509" s="40"/>
      <c r="E1509" s="40"/>
      <c r="F1509" s="40">
        <v>8</v>
      </c>
      <c r="G1509" s="40">
        <v>8</v>
      </c>
      <c r="H1509" s="40">
        <v>9</v>
      </c>
      <c r="I1509" s="40">
        <v>12</v>
      </c>
      <c r="J1509" s="40"/>
      <c r="K1509" s="40">
        <v>12</v>
      </c>
      <c r="L1509" s="40"/>
      <c r="M1509" s="40">
        <v>1</v>
      </c>
      <c r="N1509" s="40"/>
      <c r="O1509" s="40"/>
      <c r="P1509" s="40"/>
      <c r="Q1509" s="70"/>
      <c r="R1509" s="41"/>
      <c r="S1509" s="41"/>
      <c r="T1509" s="46"/>
      <c r="U1509" s="46"/>
      <c r="V1509" s="46"/>
      <c r="W1509" s="46"/>
      <c r="X1509" s="46"/>
      <c r="Y1509" s="46"/>
      <c r="Z1509" s="46"/>
      <c r="AA1509" s="46"/>
      <c r="AB1509" s="46"/>
      <c r="AC1509" s="46"/>
      <c r="AD1509" s="46"/>
      <c r="AE1509" s="46"/>
      <c r="AF1509" s="46"/>
      <c r="AG1509" s="46"/>
      <c r="AH1509" s="46"/>
      <c r="AI1509" s="46"/>
      <c r="AJ1509" s="46"/>
      <c r="AK1509" s="46"/>
      <c r="AL1509" s="46"/>
      <c r="AM1509" s="46"/>
      <c r="AN1509" s="46"/>
      <c r="AO1509" s="46"/>
      <c r="AP1509" s="46"/>
      <c r="AQ1509" s="46"/>
      <c r="AR1509" s="46"/>
      <c r="AS1509" s="46"/>
      <c r="AT1509" s="46"/>
      <c r="AU1509" s="46"/>
      <c r="AV1509" s="46"/>
      <c r="BA1509" s="49"/>
      <c r="BB1509" s="42"/>
      <c r="BC1509" s="42"/>
      <c r="BD1509" s="42"/>
      <c r="BE1509" s="42"/>
    </row>
    <row r="1510" spans="1:57" s="43" customFormat="1" ht="15.75">
      <c r="A1510" s="13"/>
      <c r="B1510" s="93" t="s">
        <v>37</v>
      </c>
      <c r="C1510" s="15"/>
      <c r="D1510" s="40"/>
      <c r="E1510" s="40"/>
      <c r="F1510" s="40"/>
      <c r="G1510" s="40"/>
      <c r="H1510" s="40"/>
      <c r="I1510" s="40"/>
      <c r="J1510" s="40"/>
      <c r="K1510" s="40"/>
      <c r="L1510" s="60">
        <f>L1511</f>
        <v>1</v>
      </c>
      <c r="M1510" s="60"/>
      <c r="N1510" s="60">
        <f>N1511</f>
        <v>1</v>
      </c>
      <c r="O1510" s="60">
        <f>O1511</f>
        <v>1</v>
      </c>
      <c r="P1510" s="60"/>
      <c r="Q1510" s="70"/>
      <c r="R1510" s="41"/>
      <c r="S1510" s="41"/>
      <c r="T1510" s="46"/>
      <c r="U1510" s="46"/>
      <c r="V1510" s="46"/>
      <c r="W1510" s="46"/>
      <c r="X1510" s="46"/>
      <c r="Y1510" s="46"/>
      <c r="Z1510" s="46"/>
      <c r="AA1510" s="46"/>
      <c r="AB1510" s="46"/>
      <c r="AC1510" s="46"/>
      <c r="AD1510" s="46"/>
      <c r="AE1510" s="46"/>
      <c r="AF1510" s="46"/>
      <c r="AG1510" s="46"/>
      <c r="AH1510" s="46"/>
      <c r="AI1510" s="46"/>
      <c r="AJ1510" s="46"/>
      <c r="AK1510" s="46"/>
      <c r="AL1510" s="46"/>
      <c r="AM1510" s="46"/>
      <c r="AN1510" s="46"/>
      <c r="AO1510" s="46"/>
      <c r="AP1510" s="46"/>
      <c r="AQ1510" s="46"/>
      <c r="AR1510" s="46"/>
      <c r="AS1510" s="46"/>
      <c r="AT1510" s="46"/>
      <c r="AU1510" s="46"/>
      <c r="AV1510" s="46"/>
      <c r="BA1510" s="49"/>
      <c r="BB1510" s="42"/>
      <c r="BC1510" s="42"/>
      <c r="BD1510" s="42"/>
      <c r="BE1510" s="42"/>
    </row>
    <row r="1511" spans="1:57" s="43" customFormat="1" ht="31.5" customHeight="1">
      <c r="A1511" s="12"/>
      <c r="B1511" s="106" t="s">
        <v>106</v>
      </c>
      <c r="C1511" s="15" t="s">
        <v>107</v>
      </c>
      <c r="D1511" s="51"/>
      <c r="E1511" s="51"/>
      <c r="F1511" s="51" t="s">
        <v>556</v>
      </c>
      <c r="G1511" s="51">
        <v>2</v>
      </c>
      <c r="H1511" s="51">
        <v>2</v>
      </c>
      <c r="I1511" s="51">
        <v>2</v>
      </c>
      <c r="J1511" s="51">
        <v>2</v>
      </c>
      <c r="K1511" s="51">
        <v>2</v>
      </c>
      <c r="L1511" s="40">
        <v>1</v>
      </c>
      <c r="M1511" s="40"/>
      <c r="N1511" s="40">
        <v>1</v>
      </c>
      <c r="O1511" s="40">
        <v>1</v>
      </c>
      <c r="P1511" s="40"/>
      <c r="Q1511" s="70"/>
      <c r="R1511" s="41"/>
      <c r="S1511" s="41"/>
      <c r="T1511" s="46"/>
      <c r="U1511" s="46"/>
      <c r="V1511" s="46"/>
      <c r="W1511" s="46"/>
      <c r="X1511" s="46"/>
      <c r="Y1511" s="46"/>
      <c r="Z1511" s="46"/>
      <c r="AA1511" s="46"/>
      <c r="AB1511" s="46"/>
      <c r="AC1511" s="46"/>
      <c r="AD1511" s="46"/>
      <c r="AE1511" s="46"/>
      <c r="AF1511" s="46"/>
      <c r="AG1511" s="46"/>
      <c r="AH1511" s="46"/>
      <c r="AI1511" s="46"/>
      <c r="AJ1511" s="46"/>
      <c r="AK1511" s="46"/>
      <c r="AL1511" s="46"/>
      <c r="AM1511" s="46"/>
      <c r="AN1511" s="46"/>
      <c r="AO1511" s="46"/>
      <c r="AP1511" s="46"/>
      <c r="AQ1511" s="46"/>
      <c r="AR1511" s="46"/>
      <c r="AS1511" s="46"/>
      <c r="AT1511" s="46"/>
      <c r="AU1511" s="46"/>
      <c r="AV1511" s="46"/>
      <c r="BA1511" s="49"/>
      <c r="BB1511" s="42"/>
      <c r="BC1511" s="42"/>
      <c r="BD1511" s="42"/>
      <c r="BE1511" s="42"/>
    </row>
    <row r="1512" spans="1:19" s="227" customFormat="1" ht="15.75" customHeight="1">
      <c r="A1512" s="13">
        <v>89</v>
      </c>
      <c r="B1512" s="108" t="s">
        <v>217</v>
      </c>
      <c r="C1512" s="45"/>
      <c r="D1512" s="44">
        <v>61</v>
      </c>
      <c r="E1512" s="44">
        <v>4</v>
      </c>
      <c r="F1512" s="44"/>
      <c r="G1512" s="44"/>
      <c r="H1512" s="44"/>
      <c r="I1512" s="44"/>
      <c r="J1512" s="44"/>
      <c r="K1512" s="44"/>
      <c r="L1512" s="44">
        <f>L1513+L1516</f>
        <v>0</v>
      </c>
      <c r="M1512" s="44">
        <f>M1513+M1516</f>
        <v>3</v>
      </c>
      <c r="N1512" s="44">
        <f>N1513+N1516</f>
        <v>4</v>
      </c>
      <c r="O1512" s="44">
        <f>O1513+O1516</f>
        <v>5</v>
      </c>
      <c r="P1512" s="44">
        <f>P1513+P1516</f>
        <v>2</v>
      </c>
      <c r="Q1512" s="226"/>
      <c r="R1512" s="226"/>
      <c r="S1512" s="226"/>
    </row>
    <row r="1513" spans="1:57" s="213" customFormat="1" ht="15.75">
      <c r="A1513" s="13"/>
      <c r="B1513" s="93" t="s">
        <v>669</v>
      </c>
      <c r="C1513" s="15"/>
      <c r="D1513" s="60">
        <f>SUM(D1514:D1515)</f>
        <v>4</v>
      </c>
      <c r="E1513" s="60">
        <v>2</v>
      </c>
      <c r="F1513" s="60">
        <f aca="true" t="shared" si="62" ref="F1513:M1513">SUM(F1514:F1515)</f>
        <v>0</v>
      </c>
      <c r="G1513" s="60">
        <f t="shared" si="62"/>
        <v>0</v>
      </c>
      <c r="H1513" s="60">
        <f t="shared" si="62"/>
        <v>0</v>
      </c>
      <c r="I1513" s="60">
        <f t="shared" si="62"/>
        <v>0</v>
      </c>
      <c r="J1513" s="60">
        <f t="shared" si="62"/>
        <v>0</v>
      </c>
      <c r="K1513" s="60">
        <f t="shared" si="62"/>
        <v>0</v>
      </c>
      <c r="L1513" s="60">
        <f t="shared" si="62"/>
        <v>0</v>
      </c>
      <c r="M1513" s="60">
        <f t="shared" si="62"/>
        <v>1</v>
      </c>
      <c r="N1513" s="60">
        <f>SUM(N1514:N1515)</f>
        <v>1</v>
      </c>
      <c r="O1513" s="60">
        <f>SUM(O1514:O1515)</f>
        <v>3</v>
      </c>
      <c r="P1513" s="60">
        <f>SUM(P1514:P1515)</f>
        <v>1</v>
      </c>
      <c r="Q1513" s="214"/>
      <c r="R1513" s="212"/>
      <c r="S1513" s="212"/>
      <c r="BA1513" s="214"/>
      <c r="BB1513" s="212"/>
      <c r="BC1513" s="212"/>
      <c r="BD1513" s="212"/>
      <c r="BE1513" s="212"/>
    </row>
    <row r="1514" spans="1:19" s="213" customFormat="1" ht="15.75" customHeight="1">
      <c r="A1514" s="13"/>
      <c r="B1514" s="97" t="s">
        <v>545</v>
      </c>
      <c r="C1514" s="15" t="s">
        <v>546</v>
      </c>
      <c r="D1514" s="40">
        <v>1</v>
      </c>
      <c r="E1514" s="40"/>
      <c r="F1514" s="40"/>
      <c r="G1514" s="40"/>
      <c r="H1514" s="40"/>
      <c r="I1514" s="40"/>
      <c r="J1514" s="40"/>
      <c r="K1514" s="40"/>
      <c r="L1514" s="40"/>
      <c r="M1514" s="40"/>
      <c r="N1514" s="40"/>
      <c r="O1514" s="40">
        <v>2</v>
      </c>
      <c r="P1514" s="40"/>
      <c r="Q1514" s="214"/>
      <c r="R1514" s="214"/>
      <c r="S1514" s="214"/>
    </row>
    <row r="1515" spans="1:19" s="213" customFormat="1" ht="15.75" customHeight="1">
      <c r="A1515" s="13"/>
      <c r="B1515" s="97" t="s">
        <v>218</v>
      </c>
      <c r="C1515" s="15" t="s">
        <v>741</v>
      </c>
      <c r="D1515" s="40">
        <v>3</v>
      </c>
      <c r="E1515" s="40"/>
      <c r="F1515" s="40"/>
      <c r="G1515" s="40"/>
      <c r="H1515" s="40"/>
      <c r="I1515" s="40"/>
      <c r="J1515" s="40"/>
      <c r="K1515" s="40"/>
      <c r="L1515" s="40"/>
      <c r="M1515" s="40">
        <v>1</v>
      </c>
      <c r="N1515" s="40">
        <v>1</v>
      </c>
      <c r="O1515" s="40">
        <v>1</v>
      </c>
      <c r="P1515" s="40">
        <v>1</v>
      </c>
      <c r="Q1515" s="214"/>
      <c r="R1515" s="214"/>
      <c r="S1515" s="214"/>
    </row>
    <row r="1516" spans="1:19" s="207" customFormat="1" ht="17.25" customHeight="1">
      <c r="A1516" s="50"/>
      <c r="B1516" s="93" t="s">
        <v>670</v>
      </c>
      <c r="C1516" s="94"/>
      <c r="D1516" s="60">
        <f>D1517+D1518+D1519+D1520</f>
        <v>8</v>
      </c>
      <c r="E1516" s="60"/>
      <c r="F1516" s="60"/>
      <c r="G1516" s="60"/>
      <c r="H1516" s="60"/>
      <c r="I1516" s="60"/>
      <c r="J1516" s="60"/>
      <c r="K1516" s="60"/>
      <c r="L1516" s="60"/>
      <c r="M1516" s="60">
        <f>M1517+M1518+M1519+M1520</f>
        <v>2</v>
      </c>
      <c r="N1516" s="60">
        <f>N1517+N1518+N1519+N1520</f>
        <v>3</v>
      </c>
      <c r="O1516" s="60">
        <f>O1517+O1518+O1519+O1520</f>
        <v>2</v>
      </c>
      <c r="P1516" s="60">
        <f>P1517+P1518+P1519+P1520</f>
        <v>1</v>
      </c>
      <c r="Q1516" s="216"/>
      <c r="R1516" s="216"/>
      <c r="S1516" s="217"/>
    </row>
    <row r="1517" spans="1:19" s="211" customFormat="1" ht="17.25" customHeight="1">
      <c r="A1517" s="12"/>
      <c r="B1517" s="97" t="s">
        <v>561</v>
      </c>
      <c r="C1517" s="66" t="s">
        <v>804</v>
      </c>
      <c r="D1517" s="40">
        <v>3</v>
      </c>
      <c r="E1517" s="40"/>
      <c r="F1517" s="40" t="s">
        <v>556</v>
      </c>
      <c r="G1517" s="40" t="s">
        <v>556</v>
      </c>
      <c r="H1517" s="40" t="s">
        <v>556</v>
      </c>
      <c r="I1517" s="40" t="s">
        <v>556</v>
      </c>
      <c r="J1517" s="40">
        <v>1</v>
      </c>
      <c r="K1517" s="40">
        <v>1</v>
      </c>
      <c r="L1517" s="40"/>
      <c r="M1517" s="40">
        <v>2</v>
      </c>
      <c r="N1517" s="40"/>
      <c r="O1517" s="40">
        <v>1</v>
      </c>
      <c r="P1517" s="40"/>
      <c r="Q1517" s="218"/>
      <c r="R1517" s="208"/>
      <c r="S1517" s="208"/>
    </row>
    <row r="1518" spans="1:19" s="211" customFormat="1" ht="17.25" customHeight="1">
      <c r="A1518" s="12"/>
      <c r="B1518" s="97" t="s">
        <v>219</v>
      </c>
      <c r="C1518" s="66" t="s">
        <v>55</v>
      </c>
      <c r="D1518" s="40">
        <v>3</v>
      </c>
      <c r="E1518" s="40"/>
      <c r="F1518" s="40"/>
      <c r="G1518" s="40"/>
      <c r="H1518" s="40"/>
      <c r="I1518" s="40"/>
      <c r="J1518" s="40"/>
      <c r="K1518" s="40"/>
      <c r="L1518" s="40"/>
      <c r="M1518" s="40"/>
      <c r="N1518" s="40">
        <v>2</v>
      </c>
      <c r="O1518" s="40"/>
      <c r="P1518" s="40">
        <v>1</v>
      </c>
      <c r="Q1518" s="218"/>
      <c r="R1518" s="208"/>
      <c r="S1518" s="208"/>
    </row>
    <row r="1519" spans="1:19" s="211" customFormat="1" ht="17.25" customHeight="1">
      <c r="A1519" s="12"/>
      <c r="B1519" s="97" t="s">
        <v>220</v>
      </c>
      <c r="C1519" s="66" t="s">
        <v>134</v>
      </c>
      <c r="D1519" s="40">
        <v>1</v>
      </c>
      <c r="E1519" s="40"/>
      <c r="F1519" s="40"/>
      <c r="G1519" s="40"/>
      <c r="H1519" s="40"/>
      <c r="I1519" s="40"/>
      <c r="J1519" s="40"/>
      <c r="K1519" s="40"/>
      <c r="L1519" s="40"/>
      <c r="M1519" s="40"/>
      <c r="N1519" s="40"/>
      <c r="O1519" s="40">
        <v>1</v>
      </c>
      <c r="P1519" s="40"/>
      <c r="Q1519" s="218"/>
      <c r="R1519" s="208"/>
      <c r="S1519" s="208"/>
    </row>
    <row r="1520" spans="1:19" s="211" customFormat="1" ht="17.25" customHeight="1">
      <c r="A1520" s="12"/>
      <c r="B1520" s="97" t="s">
        <v>213</v>
      </c>
      <c r="C1520" s="66" t="s">
        <v>304</v>
      </c>
      <c r="D1520" s="40">
        <v>1</v>
      </c>
      <c r="E1520" s="40"/>
      <c r="F1520" s="40"/>
      <c r="G1520" s="40"/>
      <c r="H1520" s="40"/>
      <c r="I1520" s="40"/>
      <c r="J1520" s="40"/>
      <c r="K1520" s="40"/>
      <c r="L1520" s="40"/>
      <c r="M1520" s="40"/>
      <c r="N1520" s="40">
        <v>1</v>
      </c>
      <c r="O1520" s="40"/>
      <c r="P1520" s="40"/>
      <c r="Q1520" s="218"/>
      <c r="R1520" s="208"/>
      <c r="S1520" s="208"/>
    </row>
    <row r="1521" spans="1:57" s="213" customFormat="1" ht="15.75">
      <c r="A1521" s="13"/>
      <c r="B1521" s="93" t="s">
        <v>37</v>
      </c>
      <c r="C1521" s="15"/>
      <c r="D1521" s="40">
        <v>2</v>
      </c>
      <c r="E1521" s="40"/>
      <c r="F1521" s="40"/>
      <c r="G1521" s="40"/>
      <c r="H1521" s="40"/>
      <c r="I1521" s="40"/>
      <c r="J1521" s="40"/>
      <c r="K1521" s="40"/>
      <c r="L1521" s="60"/>
      <c r="M1521" s="60"/>
      <c r="N1521" s="60"/>
      <c r="O1521" s="60"/>
      <c r="P1521" s="60"/>
      <c r="Q1521" s="214"/>
      <c r="R1521" s="212"/>
      <c r="S1521" s="212"/>
      <c r="BA1521" s="214"/>
      <c r="BB1521" s="212"/>
      <c r="BC1521" s="212"/>
      <c r="BD1521" s="212"/>
      <c r="BE1521" s="212"/>
    </row>
    <row r="1522" spans="1:57" s="213" customFormat="1" ht="17.25" customHeight="1">
      <c r="A1522" s="12"/>
      <c r="B1522" s="97"/>
      <c r="C1522" s="15"/>
      <c r="D1522" s="40"/>
      <c r="E1522" s="40"/>
      <c r="F1522" s="40" t="s">
        <v>556</v>
      </c>
      <c r="G1522" s="40">
        <v>2</v>
      </c>
      <c r="H1522" s="40">
        <v>2</v>
      </c>
      <c r="I1522" s="40">
        <v>2</v>
      </c>
      <c r="J1522" s="40">
        <v>2</v>
      </c>
      <c r="K1522" s="40">
        <v>2</v>
      </c>
      <c r="L1522" s="40"/>
      <c r="M1522" s="40"/>
      <c r="N1522" s="40"/>
      <c r="O1522" s="40"/>
      <c r="P1522" s="40"/>
      <c r="Q1522" s="214"/>
      <c r="R1522" s="212"/>
      <c r="S1522" s="212"/>
      <c r="BA1522" s="214"/>
      <c r="BB1522" s="212"/>
      <c r="BC1522" s="212"/>
      <c r="BD1522" s="212"/>
      <c r="BE1522" s="212"/>
    </row>
    <row r="1523" spans="1:188" s="57" customFormat="1" ht="19.5" customHeight="1">
      <c r="A1523" s="13">
        <v>90</v>
      </c>
      <c r="B1523" s="92" t="s">
        <v>243</v>
      </c>
      <c r="C1523" s="45"/>
      <c r="D1523" s="44">
        <v>58</v>
      </c>
      <c r="E1523" s="44">
        <v>8</v>
      </c>
      <c r="F1523" s="44">
        <v>85</v>
      </c>
      <c r="G1523" s="44">
        <v>86</v>
      </c>
      <c r="H1523" s="44">
        <v>87</v>
      </c>
      <c r="I1523" s="44">
        <v>87</v>
      </c>
      <c r="J1523" s="44"/>
      <c r="K1523" s="44">
        <v>88</v>
      </c>
      <c r="L1523" s="44">
        <f>L1524</f>
        <v>5</v>
      </c>
      <c r="M1523" s="44">
        <f>M1524</f>
        <v>5</v>
      </c>
      <c r="N1523" s="44">
        <f>N1524</f>
        <v>1</v>
      </c>
      <c r="O1523" s="44">
        <f>O1524</f>
        <v>1</v>
      </c>
      <c r="P1523" s="44">
        <f>P1524</f>
        <v>2</v>
      </c>
      <c r="Q1523" s="54" t="s">
        <v>649</v>
      </c>
      <c r="R1523" s="54">
        <v>10</v>
      </c>
      <c r="S1523" s="55" t="s">
        <v>1337</v>
      </c>
      <c r="T1523" s="56"/>
      <c r="U1523" s="56"/>
      <c r="V1523" s="56"/>
      <c r="W1523" s="56"/>
      <c r="X1523" s="56"/>
      <c r="Y1523" s="56"/>
      <c r="Z1523" s="56"/>
      <c r="AA1523" s="56"/>
      <c r="AB1523" s="56"/>
      <c r="AC1523" s="56"/>
      <c r="AD1523" s="56"/>
      <c r="AE1523" s="56"/>
      <c r="AF1523" s="56"/>
      <c r="AG1523" s="56"/>
      <c r="AH1523" s="56"/>
      <c r="AI1523" s="56"/>
      <c r="AJ1523" s="56"/>
      <c r="AK1523" s="56"/>
      <c r="AL1523" s="56"/>
      <c r="AM1523" s="56"/>
      <c r="AN1523" s="56"/>
      <c r="AO1523" s="56"/>
      <c r="AP1523" s="56"/>
      <c r="AQ1523" s="56"/>
      <c r="AR1523" s="56"/>
      <c r="AS1523" s="56"/>
      <c r="AT1523" s="56"/>
      <c r="AU1523" s="56"/>
      <c r="AV1523" s="56"/>
      <c r="AW1523" s="56"/>
      <c r="AX1523" s="56"/>
      <c r="AY1523" s="56"/>
      <c r="AZ1523" s="56"/>
      <c r="BA1523" s="56"/>
      <c r="BB1523" s="56"/>
      <c r="BC1523" s="56"/>
      <c r="BD1523" s="56"/>
      <c r="BE1523" s="56"/>
      <c r="BF1523" s="56"/>
      <c r="BG1523" s="56"/>
      <c r="BH1523" s="56"/>
      <c r="BI1523" s="56"/>
      <c r="BJ1523" s="56"/>
      <c r="BK1523" s="56"/>
      <c r="BL1523" s="56"/>
      <c r="BM1523" s="56"/>
      <c r="BN1523" s="56"/>
      <c r="BO1523" s="56"/>
      <c r="BP1523" s="56"/>
      <c r="BQ1523" s="56"/>
      <c r="BR1523" s="56"/>
      <c r="BS1523" s="56"/>
      <c r="BT1523" s="56"/>
      <c r="BU1523" s="56"/>
      <c r="BV1523" s="56"/>
      <c r="BW1523" s="56"/>
      <c r="BX1523" s="56"/>
      <c r="BY1523" s="56"/>
      <c r="BZ1523" s="56"/>
      <c r="CA1523" s="56"/>
      <c r="CB1523" s="56"/>
      <c r="CC1523" s="56"/>
      <c r="CD1523" s="56"/>
      <c r="CE1523" s="56"/>
      <c r="CF1523" s="56"/>
      <c r="CG1523" s="56"/>
      <c r="CH1523" s="56"/>
      <c r="CI1523" s="56"/>
      <c r="CJ1523" s="56"/>
      <c r="CK1523" s="56"/>
      <c r="CL1523" s="56"/>
      <c r="CM1523" s="56"/>
      <c r="CN1523" s="56"/>
      <c r="CO1523" s="56"/>
      <c r="CP1523" s="56"/>
      <c r="CQ1523" s="56"/>
      <c r="CR1523" s="56"/>
      <c r="CS1523" s="56"/>
      <c r="CT1523" s="56"/>
      <c r="CU1523" s="56"/>
      <c r="CV1523" s="56"/>
      <c r="CW1523" s="56"/>
      <c r="CX1523" s="56"/>
      <c r="CY1523" s="56"/>
      <c r="CZ1523" s="56"/>
      <c r="DA1523" s="56"/>
      <c r="DB1523" s="56"/>
      <c r="DC1523" s="56"/>
      <c r="DD1523" s="56"/>
      <c r="DE1523" s="56"/>
      <c r="DF1523" s="56"/>
      <c r="DG1523" s="56"/>
      <c r="DH1523" s="56"/>
      <c r="DI1523" s="56"/>
      <c r="DJ1523" s="56"/>
      <c r="DK1523" s="56"/>
      <c r="DL1523" s="56"/>
      <c r="DM1523" s="56"/>
      <c r="DN1523" s="56"/>
      <c r="DO1523" s="56"/>
      <c r="DP1523" s="56"/>
      <c r="DQ1523" s="56"/>
      <c r="DR1523" s="56"/>
      <c r="DS1523" s="56"/>
      <c r="DT1523" s="56"/>
      <c r="DU1523" s="56"/>
      <c r="DV1523" s="56"/>
      <c r="DW1523" s="56"/>
      <c r="DX1523" s="56"/>
      <c r="DY1523" s="56"/>
      <c r="DZ1523" s="56"/>
      <c r="EA1523" s="56"/>
      <c r="EB1523" s="56"/>
      <c r="EC1523" s="56"/>
      <c r="ED1523" s="56"/>
      <c r="EE1523" s="56"/>
      <c r="EF1523" s="56"/>
      <c r="EG1523" s="56"/>
      <c r="EH1523" s="56"/>
      <c r="EI1523" s="56"/>
      <c r="EJ1523" s="56"/>
      <c r="EK1523" s="56"/>
      <c r="EL1523" s="56"/>
      <c r="EM1523" s="56"/>
      <c r="EN1523" s="56"/>
      <c r="EO1523" s="56"/>
      <c r="EP1523" s="56"/>
      <c r="EQ1523" s="56"/>
      <c r="ER1523" s="56"/>
      <c r="ES1523" s="56"/>
      <c r="ET1523" s="56"/>
      <c r="EU1523" s="56"/>
      <c r="EV1523" s="56"/>
      <c r="EW1523" s="56"/>
      <c r="EX1523" s="56"/>
      <c r="EY1523" s="56"/>
      <c r="EZ1523" s="56"/>
      <c r="FA1523" s="56"/>
      <c r="FB1523" s="56"/>
      <c r="FC1523" s="56"/>
      <c r="FD1523" s="56"/>
      <c r="FE1523" s="56"/>
      <c r="FF1523" s="56"/>
      <c r="FG1523" s="56"/>
      <c r="FH1523" s="56"/>
      <c r="FI1523" s="56"/>
      <c r="FJ1523" s="56"/>
      <c r="FK1523" s="56"/>
      <c r="FL1523" s="56"/>
      <c r="FM1523" s="56"/>
      <c r="FN1523" s="56"/>
      <c r="FO1523" s="56"/>
      <c r="FP1523" s="56"/>
      <c r="FQ1523" s="56"/>
      <c r="FR1523" s="56"/>
      <c r="FS1523" s="56"/>
      <c r="FT1523" s="56"/>
      <c r="FU1523" s="56"/>
      <c r="FV1523" s="56"/>
      <c r="FW1523" s="56"/>
      <c r="FX1523" s="56"/>
      <c r="FY1523" s="56"/>
      <c r="FZ1523" s="56"/>
      <c r="GA1523" s="56"/>
      <c r="GB1523" s="56"/>
      <c r="GC1523" s="56"/>
      <c r="GD1523" s="56"/>
      <c r="GE1523" s="56"/>
      <c r="GF1523" s="56"/>
    </row>
    <row r="1524" spans="1:57" s="43" customFormat="1" ht="15.75">
      <c r="A1524" s="13"/>
      <c r="B1524" s="104" t="s">
        <v>669</v>
      </c>
      <c r="C1524" s="15"/>
      <c r="D1524" s="40"/>
      <c r="E1524" s="40"/>
      <c r="F1524" s="40"/>
      <c r="G1524" s="40"/>
      <c r="H1524" s="40"/>
      <c r="I1524" s="40"/>
      <c r="J1524" s="40"/>
      <c r="K1524" s="40"/>
      <c r="L1524" s="60">
        <f>SUM(L1525:L1527)</f>
        <v>5</v>
      </c>
      <c r="M1524" s="60">
        <f>SUM(M1525:M1527)</f>
        <v>5</v>
      </c>
      <c r="N1524" s="60">
        <f>SUM(N1525:N1527)</f>
        <v>1</v>
      </c>
      <c r="O1524" s="60">
        <f>SUM(O1525:O1527)</f>
        <v>1</v>
      </c>
      <c r="P1524" s="60">
        <f>SUM(P1525:P1527)</f>
        <v>2</v>
      </c>
      <c r="Q1524" s="70"/>
      <c r="R1524" s="41"/>
      <c r="S1524" s="41"/>
      <c r="T1524" s="46"/>
      <c r="U1524" s="46"/>
      <c r="V1524" s="46"/>
      <c r="W1524" s="46"/>
      <c r="X1524" s="46"/>
      <c r="Y1524" s="46"/>
      <c r="Z1524" s="46"/>
      <c r="AA1524" s="46"/>
      <c r="AB1524" s="46"/>
      <c r="AC1524" s="46"/>
      <c r="AD1524" s="46"/>
      <c r="AE1524" s="46"/>
      <c r="AF1524" s="46"/>
      <c r="AG1524" s="46"/>
      <c r="AH1524" s="46"/>
      <c r="AI1524" s="46"/>
      <c r="AJ1524" s="46"/>
      <c r="AK1524" s="46"/>
      <c r="AL1524" s="46"/>
      <c r="AM1524" s="46"/>
      <c r="AN1524" s="46"/>
      <c r="AO1524" s="46"/>
      <c r="AP1524" s="46"/>
      <c r="AQ1524" s="46"/>
      <c r="AR1524" s="46"/>
      <c r="AS1524" s="46"/>
      <c r="AT1524" s="46"/>
      <c r="AU1524" s="46"/>
      <c r="AV1524" s="46"/>
      <c r="BA1524" s="49"/>
      <c r="BB1524" s="42"/>
      <c r="BC1524" s="42"/>
      <c r="BD1524" s="42"/>
      <c r="BE1524" s="42"/>
    </row>
    <row r="1525" spans="1:57" s="43" customFormat="1" ht="15.75">
      <c r="A1525" s="13"/>
      <c r="B1525" s="105" t="s">
        <v>748</v>
      </c>
      <c r="C1525" s="15">
        <v>17040021</v>
      </c>
      <c r="D1525" s="40"/>
      <c r="E1525" s="40"/>
      <c r="F1525" s="40">
        <v>16</v>
      </c>
      <c r="G1525" s="40">
        <v>16</v>
      </c>
      <c r="H1525" s="40">
        <v>16</v>
      </c>
      <c r="I1525" s="40">
        <v>17</v>
      </c>
      <c r="J1525" s="40"/>
      <c r="K1525" s="40">
        <v>20</v>
      </c>
      <c r="L1525" s="40" t="s">
        <v>556</v>
      </c>
      <c r="M1525" s="40">
        <v>3</v>
      </c>
      <c r="N1525" s="40" t="s">
        <v>556</v>
      </c>
      <c r="O1525" s="40" t="s">
        <v>556</v>
      </c>
      <c r="P1525" s="40">
        <v>1</v>
      </c>
      <c r="Q1525" s="70"/>
      <c r="R1525" s="41"/>
      <c r="S1525" s="41"/>
      <c r="T1525" s="46"/>
      <c r="U1525" s="46"/>
      <c r="V1525" s="46"/>
      <c r="W1525" s="46"/>
      <c r="X1525" s="46"/>
      <c r="Y1525" s="46"/>
      <c r="Z1525" s="46"/>
      <c r="AA1525" s="46"/>
      <c r="AB1525" s="46"/>
      <c r="AC1525" s="46"/>
      <c r="AD1525" s="46"/>
      <c r="AE1525" s="46"/>
      <c r="AF1525" s="46"/>
      <c r="AG1525" s="46"/>
      <c r="AH1525" s="46"/>
      <c r="AI1525" s="46"/>
      <c r="AJ1525" s="46"/>
      <c r="AK1525" s="46"/>
      <c r="AL1525" s="46"/>
      <c r="AM1525" s="46"/>
      <c r="AN1525" s="46"/>
      <c r="AO1525" s="46"/>
      <c r="AP1525" s="46"/>
      <c r="AQ1525" s="46"/>
      <c r="AR1525" s="46"/>
      <c r="AS1525" s="46"/>
      <c r="AT1525" s="46"/>
      <c r="AU1525" s="46"/>
      <c r="AV1525" s="46"/>
      <c r="BA1525" s="49"/>
      <c r="BB1525" s="42"/>
      <c r="BC1525" s="42"/>
      <c r="BD1525" s="42"/>
      <c r="BE1525" s="42"/>
    </row>
    <row r="1526" spans="1:57" s="43" customFormat="1" ht="17.25" customHeight="1">
      <c r="A1526" s="13"/>
      <c r="B1526" s="105" t="s">
        <v>750</v>
      </c>
      <c r="C1526" s="15" t="s">
        <v>1313</v>
      </c>
      <c r="D1526" s="40"/>
      <c r="E1526" s="40"/>
      <c r="F1526" s="40">
        <v>8</v>
      </c>
      <c r="G1526" s="40">
        <v>8</v>
      </c>
      <c r="H1526" s="40">
        <v>9</v>
      </c>
      <c r="I1526" s="40">
        <v>12</v>
      </c>
      <c r="J1526" s="40"/>
      <c r="K1526" s="40">
        <v>12</v>
      </c>
      <c r="L1526" s="40">
        <v>3</v>
      </c>
      <c r="M1526" s="40">
        <v>2</v>
      </c>
      <c r="N1526" s="40">
        <v>1</v>
      </c>
      <c r="O1526" s="40">
        <v>1</v>
      </c>
      <c r="P1526" s="40" t="s">
        <v>556</v>
      </c>
      <c r="Q1526" s="70"/>
      <c r="R1526" s="41"/>
      <c r="S1526" s="41"/>
      <c r="T1526" s="46"/>
      <c r="U1526" s="46"/>
      <c r="V1526" s="46"/>
      <c r="W1526" s="46"/>
      <c r="X1526" s="46"/>
      <c r="Y1526" s="46"/>
      <c r="Z1526" s="46"/>
      <c r="AA1526" s="46"/>
      <c r="AB1526" s="46"/>
      <c r="AC1526" s="46"/>
      <c r="AD1526" s="46"/>
      <c r="AE1526" s="46"/>
      <c r="AF1526" s="46"/>
      <c r="AG1526" s="46"/>
      <c r="AH1526" s="46"/>
      <c r="AI1526" s="46"/>
      <c r="AJ1526" s="46"/>
      <c r="AK1526" s="46"/>
      <c r="AL1526" s="46"/>
      <c r="AM1526" s="46"/>
      <c r="AN1526" s="46"/>
      <c r="AO1526" s="46"/>
      <c r="AP1526" s="46"/>
      <c r="AQ1526" s="46"/>
      <c r="AR1526" s="46"/>
      <c r="AS1526" s="46"/>
      <c r="AT1526" s="46"/>
      <c r="AU1526" s="46"/>
      <c r="AV1526" s="46"/>
      <c r="BA1526" s="49"/>
      <c r="BB1526" s="42"/>
      <c r="BC1526" s="42"/>
      <c r="BD1526" s="42"/>
      <c r="BE1526" s="42"/>
    </row>
    <row r="1527" spans="1:57" s="43" customFormat="1" ht="17.25" customHeight="1">
      <c r="A1527" s="13"/>
      <c r="B1527" s="97" t="s">
        <v>560</v>
      </c>
      <c r="C1527" s="29" t="s">
        <v>1319</v>
      </c>
      <c r="D1527" s="40"/>
      <c r="E1527" s="40"/>
      <c r="F1527" s="40">
        <v>3</v>
      </c>
      <c r="G1527" s="40">
        <v>3</v>
      </c>
      <c r="H1527" s="40">
        <v>4</v>
      </c>
      <c r="I1527" s="40">
        <v>4</v>
      </c>
      <c r="J1527" s="40"/>
      <c r="K1527" s="40">
        <v>5</v>
      </c>
      <c r="L1527" s="40">
        <v>2</v>
      </c>
      <c r="M1527" s="40" t="s">
        <v>556</v>
      </c>
      <c r="N1527" s="40" t="s">
        <v>556</v>
      </c>
      <c r="O1527" s="40" t="s">
        <v>556</v>
      </c>
      <c r="P1527" s="40">
        <v>1</v>
      </c>
      <c r="Q1527" s="70"/>
      <c r="R1527" s="41"/>
      <c r="S1527" s="41"/>
      <c r="T1527" s="46"/>
      <c r="U1527" s="46"/>
      <c r="V1527" s="46"/>
      <c r="W1527" s="46"/>
      <c r="X1527" s="46"/>
      <c r="Y1527" s="46"/>
      <c r="Z1527" s="46"/>
      <c r="AA1527" s="46"/>
      <c r="AB1527" s="46"/>
      <c r="AC1527" s="46"/>
      <c r="AD1527" s="46"/>
      <c r="AE1527" s="46"/>
      <c r="AF1527" s="46"/>
      <c r="AG1527" s="46"/>
      <c r="AH1527" s="46"/>
      <c r="AI1527" s="46"/>
      <c r="AJ1527" s="46"/>
      <c r="AK1527" s="46"/>
      <c r="AL1527" s="46"/>
      <c r="AM1527" s="46"/>
      <c r="AN1527" s="46"/>
      <c r="AO1527" s="46"/>
      <c r="AP1527" s="46"/>
      <c r="AQ1527" s="46"/>
      <c r="AR1527" s="46"/>
      <c r="AS1527" s="46"/>
      <c r="AT1527" s="46"/>
      <c r="AU1527" s="46"/>
      <c r="AV1527" s="46"/>
      <c r="BA1527" s="49"/>
      <c r="BB1527" s="42"/>
      <c r="BC1527" s="42"/>
      <c r="BD1527" s="42"/>
      <c r="BE1527" s="42"/>
    </row>
    <row r="1528" spans="1:19" ht="15" customHeight="1">
      <c r="A1528" s="399" t="s">
        <v>656</v>
      </c>
      <c r="B1528" s="399"/>
      <c r="C1528" s="399"/>
      <c r="D1528" s="399"/>
      <c r="E1528" s="399"/>
      <c r="F1528" s="399"/>
      <c r="G1528" s="399"/>
      <c r="H1528" s="399"/>
      <c r="I1528" s="399"/>
      <c r="J1528" s="399"/>
      <c r="K1528" s="399"/>
      <c r="L1528" s="399"/>
      <c r="M1528" s="399"/>
      <c r="N1528" s="399"/>
      <c r="O1528" s="399"/>
      <c r="P1528" s="399"/>
      <c r="Q1528" s="20"/>
      <c r="R1528" s="20"/>
      <c r="S1528" s="7"/>
    </row>
    <row r="1529" spans="1:19" ht="13.5" customHeight="1">
      <c r="A1529" s="400" t="s">
        <v>909</v>
      </c>
      <c r="B1529" s="400"/>
      <c r="C1529" s="400"/>
      <c r="D1529" s="400"/>
      <c r="E1529" s="400"/>
      <c r="F1529" s="400"/>
      <c r="G1529" s="400"/>
      <c r="H1529" s="400"/>
      <c r="I1529" s="400"/>
      <c r="J1529" s="400"/>
      <c r="K1529" s="400"/>
      <c r="L1529" s="400"/>
      <c r="M1529" s="400"/>
      <c r="N1529" s="400"/>
      <c r="O1529" s="400"/>
      <c r="P1529" s="400"/>
      <c r="Q1529" s="21"/>
      <c r="R1529" s="21"/>
      <c r="S1529" s="8"/>
    </row>
    <row r="1530" spans="1:188" s="57" customFormat="1" ht="18" customHeight="1">
      <c r="A1530" s="13">
        <v>91</v>
      </c>
      <c r="B1530" s="92" t="s">
        <v>578</v>
      </c>
      <c r="C1530" s="45"/>
      <c r="D1530" s="44">
        <v>71</v>
      </c>
      <c r="E1530" s="44">
        <v>13</v>
      </c>
      <c r="F1530" s="44">
        <v>40</v>
      </c>
      <c r="G1530" s="44">
        <v>41</v>
      </c>
      <c r="H1530" s="44">
        <v>41</v>
      </c>
      <c r="I1530" s="44">
        <v>41</v>
      </c>
      <c r="J1530" s="44"/>
      <c r="K1530" s="44">
        <v>41</v>
      </c>
      <c r="L1530" s="44">
        <f>L1531</f>
        <v>4</v>
      </c>
      <c r="M1530" s="44">
        <v>1</v>
      </c>
      <c r="N1530" s="44">
        <v>4</v>
      </c>
      <c r="O1530" s="44">
        <v>2</v>
      </c>
      <c r="P1530" s="44">
        <f>P1531</f>
        <v>1</v>
      </c>
      <c r="Q1530" s="54" t="s">
        <v>649</v>
      </c>
      <c r="R1530" s="54">
        <v>3</v>
      </c>
      <c r="S1530" s="59" t="s">
        <v>1310</v>
      </c>
      <c r="T1530" s="56"/>
      <c r="U1530" s="56"/>
      <c r="V1530" s="56"/>
      <c r="W1530" s="56"/>
      <c r="X1530" s="56"/>
      <c r="Y1530" s="56"/>
      <c r="Z1530" s="56"/>
      <c r="AA1530" s="56"/>
      <c r="AB1530" s="56"/>
      <c r="AC1530" s="56"/>
      <c r="AD1530" s="56"/>
      <c r="AE1530" s="56"/>
      <c r="AF1530" s="56"/>
      <c r="AG1530" s="56"/>
      <c r="AH1530" s="56"/>
      <c r="AI1530" s="56"/>
      <c r="AJ1530" s="56"/>
      <c r="AK1530" s="56"/>
      <c r="AL1530" s="56"/>
      <c r="AM1530" s="56"/>
      <c r="AN1530" s="56"/>
      <c r="AO1530" s="56"/>
      <c r="AP1530" s="56"/>
      <c r="AQ1530" s="56"/>
      <c r="AR1530" s="56"/>
      <c r="AS1530" s="56"/>
      <c r="AT1530" s="56"/>
      <c r="AU1530" s="56"/>
      <c r="AV1530" s="56"/>
      <c r="AW1530" s="56"/>
      <c r="AX1530" s="56"/>
      <c r="AY1530" s="56"/>
      <c r="AZ1530" s="56"/>
      <c r="BA1530" s="56"/>
      <c r="BB1530" s="56"/>
      <c r="BC1530" s="56"/>
      <c r="BD1530" s="56"/>
      <c r="BE1530" s="56"/>
      <c r="BF1530" s="56"/>
      <c r="BG1530" s="56"/>
      <c r="BH1530" s="56"/>
      <c r="BI1530" s="56"/>
      <c r="BJ1530" s="56"/>
      <c r="BK1530" s="56"/>
      <c r="BL1530" s="56"/>
      <c r="BM1530" s="56"/>
      <c r="BN1530" s="56"/>
      <c r="BO1530" s="56"/>
      <c r="BP1530" s="56"/>
      <c r="BQ1530" s="56"/>
      <c r="BR1530" s="56"/>
      <c r="BS1530" s="56"/>
      <c r="BT1530" s="56"/>
      <c r="BU1530" s="56"/>
      <c r="BV1530" s="56"/>
      <c r="BW1530" s="56"/>
      <c r="BX1530" s="56"/>
      <c r="BY1530" s="56"/>
      <c r="BZ1530" s="56"/>
      <c r="CA1530" s="56"/>
      <c r="CB1530" s="56"/>
      <c r="CC1530" s="56"/>
      <c r="CD1530" s="56"/>
      <c r="CE1530" s="56"/>
      <c r="CF1530" s="56"/>
      <c r="CG1530" s="56"/>
      <c r="CH1530" s="56"/>
      <c r="CI1530" s="56"/>
      <c r="CJ1530" s="56"/>
      <c r="CK1530" s="56"/>
      <c r="CL1530" s="56"/>
      <c r="CM1530" s="56"/>
      <c r="CN1530" s="56"/>
      <c r="CO1530" s="56"/>
      <c r="CP1530" s="56"/>
      <c r="CQ1530" s="56"/>
      <c r="CR1530" s="56"/>
      <c r="CS1530" s="56"/>
      <c r="CT1530" s="56"/>
      <c r="CU1530" s="56"/>
      <c r="CV1530" s="56"/>
      <c r="CW1530" s="56"/>
      <c r="CX1530" s="56"/>
      <c r="CY1530" s="56"/>
      <c r="CZ1530" s="56"/>
      <c r="DA1530" s="56"/>
      <c r="DB1530" s="56"/>
      <c r="DC1530" s="56"/>
      <c r="DD1530" s="56"/>
      <c r="DE1530" s="56"/>
      <c r="DF1530" s="56"/>
      <c r="DG1530" s="56"/>
      <c r="DH1530" s="56"/>
      <c r="DI1530" s="56"/>
      <c r="DJ1530" s="56"/>
      <c r="DK1530" s="56"/>
      <c r="DL1530" s="56"/>
      <c r="DM1530" s="56"/>
      <c r="DN1530" s="56"/>
      <c r="DO1530" s="56"/>
      <c r="DP1530" s="56"/>
      <c r="DQ1530" s="56"/>
      <c r="DR1530" s="56"/>
      <c r="DS1530" s="56"/>
      <c r="DT1530" s="56"/>
      <c r="DU1530" s="56"/>
      <c r="DV1530" s="56"/>
      <c r="DW1530" s="56"/>
      <c r="DX1530" s="56"/>
      <c r="DY1530" s="56"/>
      <c r="DZ1530" s="56"/>
      <c r="EA1530" s="56"/>
      <c r="EB1530" s="56"/>
      <c r="EC1530" s="56"/>
      <c r="ED1530" s="56"/>
      <c r="EE1530" s="56"/>
      <c r="EF1530" s="56"/>
      <c r="EG1530" s="56"/>
      <c r="EH1530" s="56"/>
      <c r="EI1530" s="56"/>
      <c r="EJ1530" s="56"/>
      <c r="EK1530" s="56"/>
      <c r="EL1530" s="56"/>
      <c r="EM1530" s="56"/>
      <c r="EN1530" s="56"/>
      <c r="EO1530" s="56"/>
      <c r="EP1530" s="56"/>
      <c r="EQ1530" s="56"/>
      <c r="ER1530" s="56"/>
      <c r="ES1530" s="56"/>
      <c r="ET1530" s="56"/>
      <c r="EU1530" s="56"/>
      <c r="EV1530" s="56"/>
      <c r="EW1530" s="56"/>
      <c r="EX1530" s="56"/>
      <c r="EY1530" s="56"/>
      <c r="EZ1530" s="56"/>
      <c r="FA1530" s="56"/>
      <c r="FB1530" s="56"/>
      <c r="FC1530" s="56"/>
      <c r="FD1530" s="56"/>
      <c r="FE1530" s="56"/>
      <c r="FF1530" s="56"/>
      <c r="FG1530" s="56"/>
      <c r="FH1530" s="56"/>
      <c r="FI1530" s="56"/>
      <c r="FJ1530" s="56"/>
      <c r="FK1530" s="56"/>
      <c r="FL1530" s="56"/>
      <c r="FM1530" s="56"/>
      <c r="FN1530" s="56"/>
      <c r="FO1530" s="56"/>
      <c r="FP1530" s="56"/>
      <c r="FQ1530" s="56"/>
      <c r="FR1530" s="56"/>
      <c r="FS1530" s="56"/>
      <c r="FT1530" s="56"/>
      <c r="FU1530" s="56"/>
      <c r="FV1530" s="56"/>
      <c r="FW1530" s="56"/>
      <c r="FX1530" s="56"/>
      <c r="FY1530" s="56"/>
      <c r="FZ1530" s="56"/>
      <c r="GA1530" s="56"/>
      <c r="GB1530" s="56"/>
      <c r="GC1530" s="56"/>
      <c r="GD1530" s="56"/>
      <c r="GE1530" s="56"/>
      <c r="GF1530" s="56"/>
    </row>
    <row r="1531" spans="1:57" s="43" customFormat="1" ht="15.75">
      <c r="A1531" s="13"/>
      <c r="B1531" s="93" t="s">
        <v>669</v>
      </c>
      <c r="C1531" s="15"/>
      <c r="D1531" s="40"/>
      <c r="E1531" s="40"/>
      <c r="F1531" s="40"/>
      <c r="G1531" s="40"/>
      <c r="H1531" s="40"/>
      <c r="I1531" s="40"/>
      <c r="J1531" s="40"/>
      <c r="K1531" s="40"/>
      <c r="L1531" s="60">
        <f>SUM(L1532:L1535)</f>
        <v>4</v>
      </c>
      <c r="M1531" s="60" t="s">
        <v>556</v>
      </c>
      <c r="N1531" s="60">
        <f>SUM(N1532:N1535)</f>
        <v>4</v>
      </c>
      <c r="O1531" s="60">
        <f>SUM(O1532:O1535)</f>
        <v>1</v>
      </c>
      <c r="P1531" s="60">
        <f>SUM(P1532:P1535)</f>
        <v>1</v>
      </c>
      <c r="Q1531" s="70"/>
      <c r="R1531" s="41"/>
      <c r="S1531" s="41"/>
      <c r="T1531" s="46"/>
      <c r="U1531" s="46"/>
      <c r="V1531" s="46"/>
      <c r="W1531" s="46"/>
      <c r="X1531" s="46"/>
      <c r="Y1531" s="46"/>
      <c r="Z1531" s="46"/>
      <c r="AA1531" s="46"/>
      <c r="AB1531" s="46"/>
      <c r="AC1531" s="46"/>
      <c r="AD1531" s="46"/>
      <c r="AE1531" s="46"/>
      <c r="AF1531" s="46"/>
      <c r="AG1531" s="46"/>
      <c r="AH1531" s="46"/>
      <c r="AI1531" s="46"/>
      <c r="AJ1531" s="46"/>
      <c r="AK1531" s="46"/>
      <c r="AL1531" s="46"/>
      <c r="AM1531" s="46"/>
      <c r="AN1531" s="46"/>
      <c r="AO1531" s="46"/>
      <c r="AP1531" s="46"/>
      <c r="AQ1531" s="46"/>
      <c r="AR1531" s="46"/>
      <c r="AS1531" s="46"/>
      <c r="AT1531" s="46"/>
      <c r="AU1531" s="46"/>
      <c r="AV1531" s="46"/>
      <c r="BA1531" s="49"/>
      <c r="BB1531" s="42"/>
      <c r="BC1531" s="42"/>
      <c r="BD1531" s="42"/>
      <c r="BE1531" s="42"/>
    </row>
    <row r="1532" spans="1:57" s="43" customFormat="1" ht="15.75" customHeight="1">
      <c r="A1532" s="13"/>
      <c r="B1532" s="97" t="s">
        <v>644</v>
      </c>
      <c r="C1532" s="29" t="s">
        <v>645</v>
      </c>
      <c r="D1532" s="40"/>
      <c r="E1532" s="40"/>
      <c r="F1532" s="40"/>
      <c r="G1532" s="40"/>
      <c r="H1532" s="40"/>
      <c r="I1532" s="40"/>
      <c r="J1532" s="40"/>
      <c r="K1532" s="40"/>
      <c r="L1532" s="40" t="s">
        <v>556</v>
      </c>
      <c r="M1532" s="40" t="s">
        <v>556</v>
      </c>
      <c r="N1532" s="40">
        <v>1</v>
      </c>
      <c r="O1532" s="40" t="s">
        <v>556</v>
      </c>
      <c r="P1532" s="40" t="s">
        <v>556</v>
      </c>
      <c r="Q1532" s="70"/>
      <c r="R1532" s="41"/>
      <c r="S1532" s="41"/>
      <c r="T1532" s="46"/>
      <c r="U1532" s="46"/>
      <c r="V1532" s="46"/>
      <c r="W1532" s="46"/>
      <c r="X1532" s="46"/>
      <c r="Y1532" s="46"/>
      <c r="Z1532" s="46"/>
      <c r="AA1532" s="46"/>
      <c r="AB1532" s="46"/>
      <c r="AC1532" s="46"/>
      <c r="AD1532" s="46"/>
      <c r="AE1532" s="46"/>
      <c r="AF1532" s="46"/>
      <c r="AG1532" s="46"/>
      <c r="AH1532" s="46"/>
      <c r="AI1532" s="46"/>
      <c r="AJ1532" s="46"/>
      <c r="AK1532" s="46"/>
      <c r="AL1532" s="46"/>
      <c r="AM1532" s="46"/>
      <c r="AN1532" s="46"/>
      <c r="AO1532" s="46"/>
      <c r="AP1532" s="46"/>
      <c r="AQ1532" s="46"/>
      <c r="AR1532" s="46"/>
      <c r="AS1532" s="46"/>
      <c r="AT1532" s="46"/>
      <c r="AU1532" s="46"/>
      <c r="AV1532" s="46"/>
      <c r="BA1532" s="49"/>
      <c r="BB1532" s="42"/>
      <c r="BC1532" s="42"/>
      <c r="BD1532" s="42"/>
      <c r="BE1532" s="42"/>
    </row>
    <row r="1533" spans="1:48" s="43" customFormat="1" ht="15.75" customHeight="1">
      <c r="A1533" s="13"/>
      <c r="B1533" s="97" t="s">
        <v>460</v>
      </c>
      <c r="C1533" s="29" t="s">
        <v>544</v>
      </c>
      <c r="D1533" s="40"/>
      <c r="E1533" s="40"/>
      <c r="F1533" s="40"/>
      <c r="G1533" s="40"/>
      <c r="H1533" s="40"/>
      <c r="I1533" s="40"/>
      <c r="J1533" s="40"/>
      <c r="K1533" s="40"/>
      <c r="L1533" s="40">
        <v>4</v>
      </c>
      <c r="M1533" s="40" t="s">
        <v>556</v>
      </c>
      <c r="N1533" s="40">
        <v>1</v>
      </c>
      <c r="O1533" s="40" t="s">
        <v>556</v>
      </c>
      <c r="P1533" s="40" t="s">
        <v>556</v>
      </c>
      <c r="Q1533" s="70"/>
      <c r="R1533" s="70"/>
      <c r="S1533" s="70"/>
      <c r="T1533" s="46"/>
      <c r="U1533" s="46"/>
      <c r="V1533" s="46"/>
      <c r="W1533" s="46"/>
      <c r="X1533" s="46"/>
      <c r="Y1533" s="46"/>
      <c r="Z1533" s="46"/>
      <c r="AA1533" s="46"/>
      <c r="AB1533" s="46"/>
      <c r="AC1533" s="46"/>
      <c r="AD1533" s="46"/>
      <c r="AE1533" s="46"/>
      <c r="AF1533" s="46"/>
      <c r="AG1533" s="46"/>
      <c r="AH1533" s="46"/>
      <c r="AI1533" s="46"/>
      <c r="AJ1533" s="46"/>
      <c r="AK1533" s="46"/>
      <c r="AL1533" s="46"/>
      <c r="AM1533" s="46"/>
      <c r="AN1533" s="46"/>
      <c r="AO1533" s="46"/>
      <c r="AP1533" s="46"/>
      <c r="AQ1533" s="46"/>
      <c r="AR1533" s="46"/>
      <c r="AS1533" s="46"/>
      <c r="AT1533" s="46"/>
      <c r="AU1533" s="46"/>
      <c r="AV1533" s="46"/>
    </row>
    <row r="1534" spans="1:48" s="43" customFormat="1" ht="15.75" customHeight="1">
      <c r="A1534" s="13"/>
      <c r="B1534" s="97" t="s">
        <v>52</v>
      </c>
      <c r="C1534" s="29" t="s">
        <v>53</v>
      </c>
      <c r="D1534" s="40"/>
      <c r="E1534" s="40"/>
      <c r="F1534" s="40"/>
      <c r="G1534" s="40"/>
      <c r="H1534" s="40"/>
      <c r="I1534" s="40"/>
      <c r="J1534" s="40"/>
      <c r="K1534" s="40"/>
      <c r="L1534" s="40" t="s">
        <v>556</v>
      </c>
      <c r="M1534" s="40" t="s">
        <v>556</v>
      </c>
      <c r="N1534" s="40">
        <v>2</v>
      </c>
      <c r="O1534" s="40" t="s">
        <v>556</v>
      </c>
      <c r="P1534" s="40">
        <v>1</v>
      </c>
      <c r="Q1534" s="70"/>
      <c r="R1534" s="70"/>
      <c r="S1534" s="70"/>
      <c r="T1534" s="46"/>
      <c r="U1534" s="46"/>
      <c r="V1534" s="46"/>
      <c r="W1534" s="46"/>
      <c r="X1534" s="46"/>
      <c r="Y1534" s="46"/>
      <c r="Z1534" s="46"/>
      <c r="AA1534" s="46"/>
      <c r="AB1534" s="46"/>
      <c r="AC1534" s="46"/>
      <c r="AD1534" s="46"/>
      <c r="AE1534" s="46"/>
      <c r="AF1534" s="46"/>
      <c r="AG1534" s="46"/>
      <c r="AH1534" s="46"/>
      <c r="AI1534" s="46"/>
      <c r="AJ1534" s="46"/>
      <c r="AK1534" s="46"/>
      <c r="AL1534" s="46"/>
      <c r="AM1534" s="46"/>
      <c r="AN1534" s="46"/>
      <c r="AO1534" s="46"/>
      <c r="AP1534" s="46"/>
      <c r="AQ1534" s="46"/>
      <c r="AR1534" s="46"/>
      <c r="AS1534" s="46"/>
      <c r="AT1534" s="46"/>
      <c r="AU1534" s="46"/>
      <c r="AV1534" s="46"/>
    </row>
    <row r="1535" spans="1:48" s="43" customFormat="1" ht="15.75" customHeight="1">
      <c r="A1535" s="13"/>
      <c r="B1535" s="97" t="s">
        <v>560</v>
      </c>
      <c r="C1535" s="15" t="s">
        <v>1319</v>
      </c>
      <c r="D1535" s="40"/>
      <c r="E1535" s="40"/>
      <c r="F1535" s="40"/>
      <c r="G1535" s="40"/>
      <c r="H1535" s="40"/>
      <c r="I1535" s="40"/>
      <c r="J1535" s="40"/>
      <c r="K1535" s="40"/>
      <c r="L1535" s="40" t="s">
        <v>556</v>
      </c>
      <c r="M1535" s="40" t="s">
        <v>556</v>
      </c>
      <c r="N1535" s="40" t="s">
        <v>556</v>
      </c>
      <c r="O1535" s="40">
        <v>1</v>
      </c>
      <c r="P1535" s="40" t="s">
        <v>556</v>
      </c>
      <c r="Q1535" s="70"/>
      <c r="R1535" s="70"/>
      <c r="S1535" s="70"/>
      <c r="T1535" s="46"/>
      <c r="U1535" s="46"/>
      <c r="V1535" s="46"/>
      <c r="W1535" s="46"/>
      <c r="X1535" s="46"/>
      <c r="Y1535" s="46"/>
      <c r="Z1535" s="46"/>
      <c r="AA1535" s="46"/>
      <c r="AB1535" s="46"/>
      <c r="AC1535" s="46"/>
      <c r="AD1535" s="46"/>
      <c r="AE1535" s="46"/>
      <c r="AF1535" s="46"/>
      <c r="AG1535" s="46"/>
      <c r="AH1535" s="46"/>
      <c r="AI1535" s="46"/>
      <c r="AJ1535" s="46"/>
      <c r="AK1535" s="46"/>
      <c r="AL1535" s="46"/>
      <c r="AM1535" s="46"/>
      <c r="AN1535" s="46"/>
      <c r="AO1535" s="46"/>
      <c r="AP1535" s="46"/>
      <c r="AQ1535" s="46"/>
      <c r="AR1535" s="46"/>
      <c r="AS1535" s="46"/>
      <c r="AT1535" s="46"/>
      <c r="AU1535" s="46"/>
      <c r="AV1535" s="46"/>
    </row>
    <row r="1536" spans="1:19" s="47" customFormat="1" ht="17.25" customHeight="1">
      <c r="A1536" s="50"/>
      <c r="B1536" s="93" t="s">
        <v>670</v>
      </c>
      <c r="C1536" s="94"/>
      <c r="D1536" s="60"/>
      <c r="E1536" s="60"/>
      <c r="F1536" s="60"/>
      <c r="G1536" s="60"/>
      <c r="H1536" s="60"/>
      <c r="I1536" s="60"/>
      <c r="J1536" s="60"/>
      <c r="K1536" s="60"/>
      <c r="L1536" s="60" t="str">
        <f>L1537</f>
        <v> -</v>
      </c>
      <c r="M1536" s="60">
        <f>M1537</f>
        <v>1</v>
      </c>
      <c r="N1536" s="60" t="s">
        <v>556</v>
      </c>
      <c r="O1536" s="60" t="str">
        <f>O1537</f>
        <v> -</v>
      </c>
      <c r="P1536" s="60" t="str">
        <f>P1537</f>
        <v> -</v>
      </c>
      <c r="Q1536" s="95"/>
      <c r="R1536" s="95"/>
      <c r="S1536" s="96"/>
    </row>
    <row r="1537" spans="1:19" s="48" customFormat="1" ht="17.25" customHeight="1">
      <c r="A1537" s="12"/>
      <c r="B1537" s="97" t="s">
        <v>561</v>
      </c>
      <c r="C1537" s="66" t="s">
        <v>804</v>
      </c>
      <c r="D1537" s="40"/>
      <c r="E1537" s="40"/>
      <c r="F1537" s="40" t="s">
        <v>556</v>
      </c>
      <c r="G1537" s="40" t="s">
        <v>556</v>
      </c>
      <c r="H1537" s="40" t="s">
        <v>556</v>
      </c>
      <c r="I1537" s="40" t="s">
        <v>556</v>
      </c>
      <c r="J1537" s="40">
        <v>1</v>
      </c>
      <c r="K1537" s="40">
        <v>1</v>
      </c>
      <c r="L1537" s="40" t="s">
        <v>556</v>
      </c>
      <c r="M1537" s="40">
        <v>1</v>
      </c>
      <c r="N1537" s="40" t="s">
        <v>556</v>
      </c>
      <c r="O1537" s="40" t="s">
        <v>556</v>
      </c>
      <c r="P1537" s="40" t="s">
        <v>556</v>
      </c>
      <c r="Q1537" s="22"/>
      <c r="R1537" s="12"/>
      <c r="S1537" s="12"/>
    </row>
    <row r="1538" spans="1:57" s="43" customFormat="1" ht="15.75">
      <c r="A1538" s="13"/>
      <c r="B1538" s="93" t="s">
        <v>37</v>
      </c>
      <c r="C1538" s="15"/>
      <c r="D1538" s="40"/>
      <c r="E1538" s="40"/>
      <c r="F1538" s="40"/>
      <c r="G1538" s="40"/>
      <c r="H1538" s="40"/>
      <c r="I1538" s="40"/>
      <c r="J1538" s="40"/>
      <c r="K1538" s="40"/>
      <c r="L1538" s="60" t="str">
        <f>L1539</f>
        <v> -</v>
      </c>
      <c r="M1538" s="60" t="str">
        <f>M1539</f>
        <v> -</v>
      </c>
      <c r="N1538" s="60" t="str">
        <f>N1539</f>
        <v> -</v>
      </c>
      <c r="O1538" s="60">
        <f>O1539</f>
        <v>1</v>
      </c>
      <c r="P1538" s="60" t="str">
        <f>P1539</f>
        <v> -</v>
      </c>
      <c r="Q1538" s="70"/>
      <c r="R1538" s="41"/>
      <c r="S1538" s="41"/>
      <c r="T1538" s="46"/>
      <c r="U1538" s="46"/>
      <c r="V1538" s="46"/>
      <c r="W1538" s="46"/>
      <c r="X1538" s="46"/>
      <c r="Y1538" s="46"/>
      <c r="Z1538" s="46"/>
      <c r="AA1538" s="46"/>
      <c r="AB1538" s="46"/>
      <c r="AC1538" s="46"/>
      <c r="AD1538" s="46"/>
      <c r="AE1538" s="46"/>
      <c r="AF1538" s="46"/>
      <c r="AG1538" s="46"/>
      <c r="AH1538" s="46"/>
      <c r="AI1538" s="46"/>
      <c r="AJ1538" s="46"/>
      <c r="AK1538" s="46"/>
      <c r="AL1538" s="46"/>
      <c r="AM1538" s="46"/>
      <c r="AN1538" s="46"/>
      <c r="AO1538" s="46"/>
      <c r="AP1538" s="46"/>
      <c r="AQ1538" s="46"/>
      <c r="AR1538" s="46"/>
      <c r="AS1538" s="46"/>
      <c r="AT1538" s="46"/>
      <c r="AU1538" s="46"/>
      <c r="AV1538" s="46"/>
      <c r="BA1538" s="49"/>
      <c r="BB1538" s="42"/>
      <c r="BC1538" s="42"/>
      <c r="BD1538" s="42"/>
      <c r="BE1538" s="42"/>
    </row>
    <row r="1539" spans="1:57" s="43" customFormat="1" ht="17.25" customHeight="1">
      <c r="A1539" s="12"/>
      <c r="B1539" s="97" t="s">
        <v>860</v>
      </c>
      <c r="C1539" s="15" t="s">
        <v>861</v>
      </c>
      <c r="D1539" s="51"/>
      <c r="E1539" s="51"/>
      <c r="F1539" s="51" t="s">
        <v>556</v>
      </c>
      <c r="G1539" s="51">
        <v>2</v>
      </c>
      <c r="H1539" s="51">
        <v>2</v>
      </c>
      <c r="I1539" s="51">
        <v>2</v>
      </c>
      <c r="J1539" s="51">
        <v>2</v>
      </c>
      <c r="K1539" s="51">
        <v>2</v>
      </c>
      <c r="L1539" s="40" t="s">
        <v>556</v>
      </c>
      <c r="M1539" s="40" t="s">
        <v>556</v>
      </c>
      <c r="N1539" s="40" t="s">
        <v>556</v>
      </c>
      <c r="O1539" s="40">
        <v>1</v>
      </c>
      <c r="P1539" s="40" t="s">
        <v>556</v>
      </c>
      <c r="Q1539" s="70"/>
      <c r="R1539" s="41"/>
      <c r="S1539" s="41"/>
      <c r="T1539" s="46"/>
      <c r="U1539" s="46"/>
      <c r="V1539" s="46"/>
      <c r="W1539" s="46"/>
      <c r="X1539" s="46"/>
      <c r="Y1539" s="46"/>
      <c r="Z1539" s="46"/>
      <c r="AA1539" s="46"/>
      <c r="AB1539" s="46"/>
      <c r="AC1539" s="46"/>
      <c r="AD1539" s="46"/>
      <c r="AE1539" s="46"/>
      <c r="AF1539" s="46"/>
      <c r="AG1539" s="46"/>
      <c r="AH1539" s="46"/>
      <c r="AI1539" s="46"/>
      <c r="AJ1539" s="46"/>
      <c r="AK1539" s="46"/>
      <c r="AL1539" s="46"/>
      <c r="AM1539" s="46"/>
      <c r="AN1539" s="46"/>
      <c r="AO1539" s="46"/>
      <c r="AP1539" s="46"/>
      <c r="AQ1539" s="46"/>
      <c r="AR1539" s="46"/>
      <c r="AS1539" s="46"/>
      <c r="AT1539" s="46"/>
      <c r="AU1539" s="46"/>
      <c r="AV1539" s="46"/>
      <c r="BA1539" s="49"/>
      <c r="BB1539" s="42"/>
      <c r="BC1539" s="42"/>
      <c r="BD1539" s="42"/>
      <c r="BE1539" s="42"/>
    </row>
    <row r="1540" spans="1:188" s="57" customFormat="1" ht="18" customHeight="1">
      <c r="A1540" s="13">
        <v>92</v>
      </c>
      <c r="B1540" s="92" t="s">
        <v>579</v>
      </c>
      <c r="C1540" s="45"/>
      <c r="D1540" s="44">
        <v>39</v>
      </c>
      <c r="E1540" s="44">
        <v>11</v>
      </c>
      <c r="F1540" s="44">
        <v>40</v>
      </c>
      <c r="G1540" s="44">
        <v>41</v>
      </c>
      <c r="H1540" s="44">
        <v>41</v>
      </c>
      <c r="I1540" s="44">
        <v>41</v>
      </c>
      <c r="J1540" s="44"/>
      <c r="K1540" s="44">
        <v>41</v>
      </c>
      <c r="L1540" s="44" t="str">
        <f>L1541</f>
        <v> -</v>
      </c>
      <c r="M1540" s="44" t="str">
        <f>M1541</f>
        <v> -</v>
      </c>
      <c r="N1540" s="44">
        <f>N1541</f>
        <v>3</v>
      </c>
      <c r="O1540" s="44">
        <f>O1541</f>
        <v>9</v>
      </c>
      <c r="P1540" s="44">
        <f>P1541</f>
        <v>9</v>
      </c>
      <c r="Q1540" s="54" t="s">
        <v>649</v>
      </c>
      <c r="R1540" s="54">
        <v>3</v>
      </c>
      <c r="S1540" s="59" t="s">
        <v>1310</v>
      </c>
      <c r="T1540" s="56"/>
      <c r="U1540" s="56"/>
      <c r="V1540" s="56"/>
      <c r="W1540" s="56"/>
      <c r="X1540" s="56"/>
      <c r="Y1540" s="56"/>
      <c r="Z1540" s="56"/>
      <c r="AA1540" s="56"/>
      <c r="AB1540" s="56"/>
      <c r="AC1540" s="56"/>
      <c r="AD1540" s="56"/>
      <c r="AE1540" s="56"/>
      <c r="AF1540" s="56"/>
      <c r="AG1540" s="56"/>
      <c r="AH1540" s="56"/>
      <c r="AI1540" s="56"/>
      <c r="AJ1540" s="56"/>
      <c r="AK1540" s="56"/>
      <c r="AL1540" s="56"/>
      <c r="AM1540" s="56"/>
      <c r="AN1540" s="56"/>
      <c r="AO1540" s="56"/>
      <c r="AP1540" s="56"/>
      <c r="AQ1540" s="56"/>
      <c r="AR1540" s="56"/>
      <c r="AS1540" s="56"/>
      <c r="AT1540" s="56"/>
      <c r="AU1540" s="56"/>
      <c r="AV1540" s="56"/>
      <c r="AW1540" s="56"/>
      <c r="AX1540" s="56"/>
      <c r="AY1540" s="56"/>
      <c r="AZ1540" s="56"/>
      <c r="BA1540" s="56"/>
      <c r="BB1540" s="56"/>
      <c r="BC1540" s="56"/>
      <c r="BD1540" s="56"/>
      <c r="BE1540" s="56"/>
      <c r="BF1540" s="56"/>
      <c r="BG1540" s="56"/>
      <c r="BH1540" s="56"/>
      <c r="BI1540" s="56"/>
      <c r="BJ1540" s="56"/>
      <c r="BK1540" s="56"/>
      <c r="BL1540" s="56"/>
      <c r="BM1540" s="56"/>
      <c r="BN1540" s="56"/>
      <c r="BO1540" s="56"/>
      <c r="BP1540" s="56"/>
      <c r="BQ1540" s="56"/>
      <c r="BR1540" s="56"/>
      <c r="BS1540" s="56"/>
      <c r="BT1540" s="56"/>
      <c r="BU1540" s="56"/>
      <c r="BV1540" s="56"/>
      <c r="BW1540" s="56"/>
      <c r="BX1540" s="56"/>
      <c r="BY1540" s="56"/>
      <c r="BZ1540" s="56"/>
      <c r="CA1540" s="56"/>
      <c r="CB1540" s="56"/>
      <c r="CC1540" s="56"/>
      <c r="CD1540" s="56"/>
      <c r="CE1540" s="56"/>
      <c r="CF1540" s="56"/>
      <c r="CG1540" s="56"/>
      <c r="CH1540" s="56"/>
      <c r="CI1540" s="56"/>
      <c r="CJ1540" s="56"/>
      <c r="CK1540" s="56"/>
      <c r="CL1540" s="56"/>
      <c r="CM1540" s="56"/>
      <c r="CN1540" s="56"/>
      <c r="CO1540" s="56"/>
      <c r="CP1540" s="56"/>
      <c r="CQ1540" s="56"/>
      <c r="CR1540" s="56"/>
      <c r="CS1540" s="56"/>
      <c r="CT1540" s="56"/>
      <c r="CU1540" s="56"/>
      <c r="CV1540" s="56"/>
      <c r="CW1540" s="56"/>
      <c r="CX1540" s="56"/>
      <c r="CY1540" s="56"/>
      <c r="CZ1540" s="56"/>
      <c r="DA1540" s="56"/>
      <c r="DB1540" s="56"/>
      <c r="DC1540" s="56"/>
      <c r="DD1540" s="56"/>
      <c r="DE1540" s="56"/>
      <c r="DF1540" s="56"/>
      <c r="DG1540" s="56"/>
      <c r="DH1540" s="56"/>
      <c r="DI1540" s="56"/>
      <c r="DJ1540" s="56"/>
      <c r="DK1540" s="56"/>
      <c r="DL1540" s="56"/>
      <c r="DM1540" s="56"/>
      <c r="DN1540" s="56"/>
      <c r="DO1540" s="56"/>
      <c r="DP1540" s="56"/>
      <c r="DQ1540" s="56"/>
      <c r="DR1540" s="56"/>
      <c r="DS1540" s="56"/>
      <c r="DT1540" s="56"/>
      <c r="DU1540" s="56"/>
      <c r="DV1540" s="56"/>
      <c r="DW1540" s="56"/>
      <c r="DX1540" s="56"/>
      <c r="DY1540" s="56"/>
      <c r="DZ1540" s="56"/>
      <c r="EA1540" s="56"/>
      <c r="EB1540" s="56"/>
      <c r="EC1540" s="56"/>
      <c r="ED1540" s="56"/>
      <c r="EE1540" s="56"/>
      <c r="EF1540" s="56"/>
      <c r="EG1540" s="56"/>
      <c r="EH1540" s="56"/>
      <c r="EI1540" s="56"/>
      <c r="EJ1540" s="56"/>
      <c r="EK1540" s="56"/>
      <c r="EL1540" s="56"/>
      <c r="EM1540" s="56"/>
      <c r="EN1540" s="56"/>
      <c r="EO1540" s="56"/>
      <c r="EP1540" s="56"/>
      <c r="EQ1540" s="56"/>
      <c r="ER1540" s="56"/>
      <c r="ES1540" s="56"/>
      <c r="ET1540" s="56"/>
      <c r="EU1540" s="56"/>
      <c r="EV1540" s="56"/>
      <c r="EW1540" s="56"/>
      <c r="EX1540" s="56"/>
      <c r="EY1540" s="56"/>
      <c r="EZ1540" s="56"/>
      <c r="FA1540" s="56"/>
      <c r="FB1540" s="56"/>
      <c r="FC1540" s="56"/>
      <c r="FD1540" s="56"/>
      <c r="FE1540" s="56"/>
      <c r="FF1540" s="56"/>
      <c r="FG1540" s="56"/>
      <c r="FH1540" s="56"/>
      <c r="FI1540" s="56"/>
      <c r="FJ1540" s="56"/>
      <c r="FK1540" s="56"/>
      <c r="FL1540" s="56"/>
      <c r="FM1540" s="56"/>
      <c r="FN1540" s="56"/>
      <c r="FO1540" s="56"/>
      <c r="FP1540" s="56"/>
      <c r="FQ1540" s="56"/>
      <c r="FR1540" s="56"/>
      <c r="FS1540" s="56"/>
      <c r="FT1540" s="56"/>
      <c r="FU1540" s="56"/>
      <c r="FV1540" s="56"/>
      <c r="FW1540" s="56"/>
      <c r="FX1540" s="56"/>
      <c r="FY1540" s="56"/>
      <c r="FZ1540" s="56"/>
      <c r="GA1540" s="56"/>
      <c r="GB1540" s="56"/>
      <c r="GC1540" s="56"/>
      <c r="GD1540" s="56"/>
      <c r="GE1540" s="56"/>
      <c r="GF1540" s="56"/>
    </row>
    <row r="1541" spans="1:57" s="43" customFormat="1" ht="15.75">
      <c r="A1541" s="13"/>
      <c r="B1541" s="93" t="s">
        <v>669</v>
      </c>
      <c r="C1541" s="15"/>
      <c r="D1541" s="40"/>
      <c r="E1541" s="40"/>
      <c r="F1541" s="40"/>
      <c r="G1541" s="40"/>
      <c r="H1541" s="40"/>
      <c r="I1541" s="40"/>
      <c r="J1541" s="40"/>
      <c r="K1541" s="40"/>
      <c r="L1541" s="60" t="str">
        <f>L1542</f>
        <v> -</v>
      </c>
      <c r="M1541" s="60" t="s">
        <v>556</v>
      </c>
      <c r="N1541" s="60">
        <f>SUM(N1542:N1546)</f>
        <v>3</v>
      </c>
      <c r="O1541" s="60">
        <f>SUM(O1542:O1546)</f>
        <v>9</v>
      </c>
      <c r="P1541" s="60">
        <f>SUM(P1542:P1546)</f>
        <v>9</v>
      </c>
      <c r="Q1541" s="70"/>
      <c r="R1541" s="41"/>
      <c r="S1541" s="41"/>
      <c r="T1541" s="46"/>
      <c r="U1541" s="46"/>
      <c r="V1541" s="46"/>
      <c r="W1541" s="46"/>
      <c r="X1541" s="46"/>
      <c r="Y1541" s="46"/>
      <c r="Z1541" s="46"/>
      <c r="AA1541" s="46"/>
      <c r="AB1541" s="46"/>
      <c r="AC1541" s="46"/>
      <c r="AD1541" s="46"/>
      <c r="AE1541" s="46"/>
      <c r="AF1541" s="46"/>
      <c r="AG1541" s="46"/>
      <c r="AH1541" s="46"/>
      <c r="AI1541" s="46"/>
      <c r="AJ1541" s="46"/>
      <c r="AK1541" s="46"/>
      <c r="AL1541" s="46"/>
      <c r="AM1541" s="46"/>
      <c r="AN1541" s="46"/>
      <c r="AO1541" s="46"/>
      <c r="AP1541" s="46"/>
      <c r="AQ1541" s="46"/>
      <c r="AR1541" s="46"/>
      <c r="AS1541" s="46"/>
      <c r="AT1541" s="46"/>
      <c r="AU1541" s="46"/>
      <c r="AV1541" s="46"/>
      <c r="BA1541" s="49"/>
      <c r="BB1541" s="42"/>
      <c r="BC1541" s="42"/>
      <c r="BD1541" s="42"/>
      <c r="BE1541" s="42"/>
    </row>
    <row r="1542" spans="1:57" s="43" customFormat="1" ht="15.75" customHeight="1">
      <c r="A1542" s="13"/>
      <c r="B1542" s="97" t="s">
        <v>644</v>
      </c>
      <c r="C1542" s="29" t="s">
        <v>645</v>
      </c>
      <c r="D1542" s="40"/>
      <c r="E1542" s="40"/>
      <c r="F1542" s="40"/>
      <c r="G1542" s="40"/>
      <c r="H1542" s="40"/>
      <c r="I1542" s="40"/>
      <c r="J1542" s="40"/>
      <c r="K1542" s="40"/>
      <c r="L1542" s="40" t="s">
        <v>556</v>
      </c>
      <c r="M1542" s="40" t="s">
        <v>556</v>
      </c>
      <c r="N1542" s="40">
        <v>1</v>
      </c>
      <c r="O1542" s="40">
        <v>3</v>
      </c>
      <c r="P1542" s="40">
        <v>3</v>
      </c>
      <c r="Q1542" s="70"/>
      <c r="R1542" s="41"/>
      <c r="S1542" s="41"/>
      <c r="T1542" s="46"/>
      <c r="U1542" s="46"/>
      <c r="V1542" s="46"/>
      <c r="W1542" s="46"/>
      <c r="X1542" s="46"/>
      <c r="Y1542" s="46"/>
      <c r="Z1542" s="46"/>
      <c r="AA1542" s="46"/>
      <c r="AB1542" s="46"/>
      <c r="AC1542" s="46"/>
      <c r="AD1542" s="46"/>
      <c r="AE1542" s="46"/>
      <c r="AF1542" s="46"/>
      <c r="AG1542" s="46"/>
      <c r="AH1542" s="46"/>
      <c r="AI1542" s="46"/>
      <c r="AJ1542" s="46"/>
      <c r="AK1542" s="46"/>
      <c r="AL1542" s="46"/>
      <c r="AM1542" s="46"/>
      <c r="AN1542" s="46"/>
      <c r="AO1542" s="46"/>
      <c r="AP1542" s="46"/>
      <c r="AQ1542" s="46"/>
      <c r="AR1542" s="46"/>
      <c r="AS1542" s="46"/>
      <c r="AT1542" s="46"/>
      <c r="AU1542" s="46"/>
      <c r="AV1542" s="46"/>
      <c r="BA1542" s="49"/>
      <c r="BB1542" s="42"/>
      <c r="BC1542" s="42"/>
      <c r="BD1542" s="42"/>
      <c r="BE1542" s="42"/>
    </row>
    <row r="1543" spans="1:48" s="43" customFormat="1" ht="15.75" customHeight="1">
      <c r="A1543" s="13"/>
      <c r="B1543" s="105" t="s">
        <v>1303</v>
      </c>
      <c r="C1543" s="15" t="s">
        <v>1308</v>
      </c>
      <c r="D1543" s="40"/>
      <c r="E1543" s="40"/>
      <c r="F1543" s="40"/>
      <c r="G1543" s="40"/>
      <c r="H1543" s="40"/>
      <c r="I1543" s="40"/>
      <c r="J1543" s="40"/>
      <c r="K1543" s="40"/>
      <c r="L1543" s="40" t="s">
        <v>556</v>
      </c>
      <c r="M1543" s="40" t="s">
        <v>556</v>
      </c>
      <c r="N1543" s="40" t="s">
        <v>556</v>
      </c>
      <c r="O1543" s="40">
        <v>1</v>
      </c>
      <c r="P1543" s="40">
        <v>1</v>
      </c>
      <c r="Q1543" s="70"/>
      <c r="R1543" s="70"/>
      <c r="S1543" s="70"/>
      <c r="T1543" s="46"/>
      <c r="U1543" s="46"/>
      <c r="V1543" s="46"/>
      <c r="W1543" s="46"/>
      <c r="X1543" s="46"/>
      <c r="Y1543" s="46"/>
      <c r="Z1543" s="46"/>
      <c r="AA1543" s="46"/>
      <c r="AB1543" s="46"/>
      <c r="AC1543" s="46"/>
      <c r="AD1543" s="46"/>
      <c r="AE1543" s="46"/>
      <c r="AF1543" s="46"/>
      <c r="AG1543" s="46"/>
      <c r="AH1543" s="46"/>
      <c r="AI1543" s="46"/>
      <c r="AJ1543" s="46"/>
      <c r="AK1543" s="46"/>
      <c r="AL1543" s="46"/>
      <c r="AM1543" s="46"/>
      <c r="AN1543" s="46"/>
      <c r="AO1543" s="46"/>
      <c r="AP1543" s="46"/>
      <c r="AQ1543" s="46"/>
      <c r="AR1543" s="46"/>
      <c r="AS1543" s="46"/>
      <c r="AT1543" s="46"/>
      <c r="AU1543" s="46"/>
      <c r="AV1543" s="46"/>
    </row>
    <row r="1544" spans="1:48" s="43" customFormat="1" ht="15.75" customHeight="1">
      <c r="A1544" s="13"/>
      <c r="B1544" s="97" t="s">
        <v>1316</v>
      </c>
      <c r="C1544" s="29" t="s">
        <v>1317</v>
      </c>
      <c r="D1544" s="40"/>
      <c r="E1544" s="40"/>
      <c r="F1544" s="40"/>
      <c r="G1544" s="40"/>
      <c r="H1544" s="40"/>
      <c r="I1544" s="40"/>
      <c r="J1544" s="40"/>
      <c r="K1544" s="40"/>
      <c r="L1544" s="40" t="s">
        <v>556</v>
      </c>
      <c r="M1544" s="40" t="s">
        <v>556</v>
      </c>
      <c r="N1544" s="40">
        <v>1</v>
      </c>
      <c r="O1544" s="40">
        <v>1</v>
      </c>
      <c r="P1544" s="40">
        <v>1</v>
      </c>
      <c r="Q1544" s="70"/>
      <c r="R1544" s="70"/>
      <c r="S1544" s="70"/>
      <c r="T1544" s="46"/>
      <c r="U1544" s="46"/>
      <c r="V1544" s="46"/>
      <c r="W1544" s="46"/>
      <c r="X1544" s="46"/>
      <c r="Y1544" s="46"/>
      <c r="Z1544" s="46"/>
      <c r="AA1544" s="46"/>
      <c r="AB1544" s="46"/>
      <c r="AC1544" s="46"/>
      <c r="AD1544" s="46"/>
      <c r="AE1544" s="46"/>
      <c r="AF1544" s="46"/>
      <c r="AG1544" s="46"/>
      <c r="AH1544" s="46"/>
      <c r="AI1544" s="46"/>
      <c r="AJ1544" s="46"/>
      <c r="AK1544" s="46"/>
      <c r="AL1544" s="46"/>
      <c r="AM1544" s="46"/>
      <c r="AN1544" s="46"/>
      <c r="AO1544" s="46"/>
      <c r="AP1544" s="46"/>
      <c r="AQ1544" s="46"/>
      <c r="AR1544" s="46"/>
      <c r="AS1544" s="46"/>
      <c r="AT1544" s="46"/>
      <c r="AU1544" s="46"/>
      <c r="AV1544" s="46"/>
    </row>
    <row r="1545" spans="1:48" s="43" customFormat="1" ht="15.75" customHeight="1">
      <c r="A1545" s="13"/>
      <c r="B1545" s="97" t="s">
        <v>1343</v>
      </c>
      <c r="C1545" s="15" t="s">
        <v>1344</v>
      </c>
      <c r="D1545" s="40"/>
      <c r="E1545" s="40"/>
      <c r="F1545" s="40"/>
      <c r="G1545" s="40"/>
      <c r="H1545" s="40"/>
      <c r="I1545" s="40"/>
      <c r="J1545" s="40"/>
      <c r="K1545" s="40"/>
      <c r="L1545" s="40" t="s">
        <v>556</v>
      </c>
      <c r="M1545" s="40" t="s">
        <v>556</v>
      </c>
      <c r="N1545" s="40">
        <v>1</v>
      </c>
      <c r="O1545" s="40">
        <v>2</v>
      </c>
      <c r="P1545" s="40">
        <v>2</v>
      </c>
      <c r="Q1545" s="70"/>
      <c r="R1545" s="70"/>
      <c r="S1545" s="70"/>
      <c r="T1545" s="46"/>
      <c r="U1545" s="46"/>
      <c r="V1545" s="46"/>
      <c r="W1545" s="46"/>
      <c r="X1545" s="46"/>
      <c r="Y1545" s="46"/>
      <c r="Z1545" s="46"/>
      <c r="AA1545" s="46"/>
      <c r="AB1545" s="46"/>
      <c r="AC1545" s="46"/>
      <c r="AD1545" s="46"/>
      <c r="AE1545" s="46"/>
      <c r="AF1545" s="46"/>
      <c r="AG1545" s="46"/>
      <c r="AH1545" s="46"/>
      <c r="AI1545" s="46"/>
      <c r="AJ1545" s="46"/>
      <c r="AK1545" s="46"/>
      <c r="AL1545" s="46"/>
      <c r="AM1545" s="46"/>
      <c r="AN1545" s="46"/>
      <c r="AO1545" s="46"/>
      <c r="AP1545" s="46"/>
      <c r="AQ1545" s="46"/>
      <c r="AR1545" s="46"/>
      <c r="AS1545" s="46"/>
      <c r="AT1545" s="46"/>
      <c r="AU1545" s="46"/>
      <c r="AV1545" s="46"/>
    </row>
    <row r="1546" spans="1:48" s="43" customFormat="1" ht="15.75" customHeight="1">
      <c r="A1546" s="13"/>
      <c r="B1546" s="97" t="s">
        <v>1351</v>
      </c>
      <c r="C1546" s="15" t="s">
        <v>1352</v>
      </c>
      <c r="D1546" s="40"/>
      <c r="E1546" s="40"/>
      <c r="F1546" s="40"/>
      <c r="G1546" s="40"/>
      <c r="H1546" s="40"/>
      <c r="I1546" s="40"/>
      <c r="J1546" s="40"/>
      <c r="K1546" s="40"/>
      <c r="L1546" s="40" t="s">
        <v>556</v>
      </c>
      <c r="M1546" s="40" t="s">
        <v>556</v>
      </c>
      <c r="N1546" s="40" t="s">
        <v>556</v>
      </c>
      <c r="O1546" s="40">
        <v>2</v>
      </c>
      <c r="P1546" s="40">
        <v>2</v>
      </c>
      <c r="Q1546" s="70"/>
      <c r="R1546" s="70"/>
      <c r="S1546" s="70"/>
      <c r="T1546" s="46"/>
      <c r="U1546" s="46"/>
      <c r="V1546" s="46"/>
      <c r="W1546" s="46"/>
      <c r="X1546" s="46"/>
      <c r="Y1546" s="46"/>
      <c r="Z1546" s="46"/>
      <c r="AA1546" s="46"/>
      <c r="AB1546" s="46"/>
      <c r="AC1546" s="46"/>
      <c r="AD1546" s="46"/>
      <c r="AE1546" s="46"/>
      <c r="AF1546" s="46"/>
      <c r="AG1546" s="46"/>
      <c r="AH1546" s="46"/>
      <c r="AI1546" s="46"/>
      <c r="AJ1546" s="46"/>
      <c r="AK1546" s="46"/>
      <c r="AL1546" s="46"/>
      <c r="AM1546" s="46"/>
      <c r="AN1546" s="46"/>
      <c r="AO1546" s="46"/>
      <c r="AP1546" s="46"/>
      <c r="AQ1546" s="46"/>
      <c r="AR1546" s="46"/>
      <c r="AS1546" s="46"/>
      <c r="AT1546" s="46"/>
      <c r="AU1546" s="46"/>
      <c r="AV1546" s="46"/>
    </row>
    <row r="1547" spans="1:188" s="57" customFormat="1" ht="18" customHeight="1">
      <c r="A1547" s="13">
        <v>93</v>
      </c>
      <c r="B1547" s="92" t="s">
        <v>312</v>
      </c>
      <c r="C1547" s="45"/>
      <c r="D1547" s="44">
        <v>40</v>
      </c>
      <c r="E1547" s="44">
        <v>1</v>
      </c>
      <c r="F1547" s="44">
        <v>40</v>
      </c>
      <c r="G1547" s="44">
        <v>41</v>
      </c>
      <c r="H1547" s="44">
        <v>41</v>
      </c>
      <c r="I1547" s="44">
        <v>41</v>
      </c>
      <c r="J1547" s="44"/>
      <c r="K1547" s="44">
        <v>41</v>
      </c>
      <c r="L1547" s="44" t="str">
        <f>L1548</f>
        <v> -</v>
      </c>
      <c r="M1547" s="44">
        <v>2</v>
      </c>
      <c r="N1547" s="44">
        <v>1</v>
      </c>
      <c r="O1547" s="44">
        <f>O1548</f>
        <v>3</v>
      </c>
      <c r="P1547" s="44">
        <f>P1548</f>
        <v>1</v>
      </c>
      <c r="Q1547" s="54" t="s">
        <v>649</v>
      </c>
      <c r="R1547" s="54">
        <v>3</v>
      </c>
      <c r="S1547" s="59" t="s">
        <v>1310</v>
      </c>
      <c r="T1547" s="56"/>
      <c r="U1547" s="56"/>
      <c r="V1547" s="56"/>
      <c r="W1547" s="56"/>
      <c r="X1547" s="56"/>
      <c r="Y1547" s="56"/>
      <c r="Z1547" s="56"/>
      <c r="AA1547" s="56"/>
      <c r="AB1547" s="56"/>
      <c r="AC1547" s="56"/>
      <c r="AD1547" s="56"/>
      <c r="AE1547" s="56"/>
      <c r="AF1547" s="56"/>
      <c r="AG1547" s="56"/>
      <c r="AH1547" s="56"/>
      <c r="AI1547" s="56"/>
      <c r="AJ1547" s="56"/>
      <c r="AK1547" s="56"/>
      <c r="AL1547" s="56"/>
      <c r="AM1547" s="56"/>
      <c r="AN1547" s="56"/>
      <c r="AO1547" s="56"/>
      <c r="AP1547" s="56"/>
      <c r="AQ1547" s="56"/>
      <c r="AR1547" s="56"/>
      <c r="AS1547" s="56"/>
      <c r="AT1547" s="56"/>
      <c r="AU1547" s="56"/>
      <c r="AV1547" s="56"/>
      <c r="AW1547" s="56"/>
      <c r="AX1547" s="56"/>
      <c r="AY1547" s="56"/>
      <c r="AZ1547" s="56"/>
      <c r="BA1547" s="56"/>
      <c r="BB1547" s="56"/>
      <c r="BC1547" s="56"/>
      <c r="BD1547" s="56"/>
      <c r="BE1547" s="56"/>
      <c r="BF1547" s="56"/>
      <c r="BG1547" s="56"/>
      <c r="BH1547" s="56"/>
      <c r="BI1547" s="56"/>
      <c r="BJ1547" s="56"/>
      <c r="BK1547" s="56"/>
      <c r="BL1547" s="56"/>
      <c r="BM1547" s="56"/>
      <c r="BN1547" s="56"/>
      <c r="BO1547" s="56"/>
      <c r="BP1547" s="56"/>
      <c r="BQ1547" s="56"/>
      <c r="BR1547" s="56"/>
      <c r="BS1547" s="56"/>
      <c r="BT1547" s="56"/>
      <c r="BU1547" s="56"/>
      <c r="BV1547" s="56"/>
      <c r="BW1547" s="56"/>
      <c r="BX1547" s="56"/>
      <c r="BY1547" s="56"/>
      <c r="BZ1547" s="56"/>
      <c r="CA1547" s="56"/>
      <c r="CB1547" s="56"/>
      <c r="CC1547" s="56"/>
      <c r="CD1547" s="56"/>
      <c r="CE1547" s="56"/>
      <c r="CF1547" s="56"/>
      <c r="CG1547" s="56"/>
      <c r="CH1547" s="56"/>
      <c r="CI1547" s="56"/>
      <c r="CJ1547" s="56"/>
      <c r="CK1547" s="56"/>
      <c r="CL1547" s="56"/>
      <c r="CM1547" s="56"/>
      <c r="CN1547" s="56"/>
      <c r="CO1547" s="56"/>
      <c r="CP1547" s="56"/>
      <c r="CQ1547" s="56"/>
      <c r="CR1547" s="56"/>
      <c r="CS1547" s="56"/>
      <c r="CT1547" s="56"/>
      <c r="CU1547" s="56"/>
      <c r="CV1547" s="56"/>
      <c r="CW1547" s="56"/>
      <c r="CX1547" s="56"/>
      <c r="CY1547" s="56"/>
      <c r="CZ1547" s="56"/>
      <c r="DA1547" s="56"/>
      <c r="DB1547" s="56"/>
      <c r="DC1547" s="56"/>
      <c r="DD1547" s="56"/>
      <c r="DE1547" s="56"/>
      <c r="DF1547" s="56"/>
      <c r="DG1547" s="56"/>
      <c r="DH1547" s="56"/>
      <c r="DI1547" s="56"/>
      <c r="DJ1547" s="56"/>
      <c r="DK1547" s="56"/>
      <c r="DL1547" s="56"/>
      <c r="DM1547" s="56"/>
      <c r="DN1547" s="56"/>
      <c r="DO1547" s="56"/>
      <c r="DP1547" s="56"/>
      <c r="DQ1547" s="56"/>
      <c r="DR1547" s="56"/>
      <c r="DS1547" s="56"/>
      <c r="DT1547" s="56"/>
      <c r="DU1547" s="56"/>
      <c r="DV1547" s="56"/>
      <c r="DW1547" s="56"/>
      <c r="DX1547" s="56"/>
      <c r="DY1547" s="56"/>
      <c r="DZ1547" s="56"/>
      <c r="EA1547" s="56"/>
      <c r="EB1547" s="56"/>
      <c r="EC1547" s="56"/>
      <c r="ED1547" s="56"/>
      <c r="EE1547" s="56"/>
      <c r="EF1547" s="56"/>
      <c r="EG1547" s="56"/>
      <c r="EH1547" s="56"/>
      <c r="EI1547" s="56"/>
      <c r="EJ1547" s="56"/>
      <c r="EK1547" s="56"/>
      <c r="EL1547" s="56"/>
      <c r="EM1547" s="56"/>
      <c r="EN1547" s="56"/>
      <c r="EO1547" s="56"/>
      <c r="EP1547" s="56"/>
      <c r="EQ1547" s="56"/>
      <c r="ER1547" s="56"/>
      <c r="ES1547" s="56"/>
      <c r="ET1547" s="56"/>
      <c r="EU1547" s="56"/>
      <c r="EV1547" s="56"/>
      <c r="EW1547" s="56"/>
      <c r="EX1547" s="56"/>
      <c r="EY1547" s="56"/>
      <c r="EZ1547" s="56"/>
      <c r="FA1547" s="56"/>
      <c r="FB1547" s="56"/>
      <c r="FC1547" s="56"/>
      <c r="FD1547" s="56"/>
      <c r="FE1547" s="56"/>
      <c r="FF1547" s="56"/>
      <c r="FG1547" s="56"/>
      <c r="FH1547" s="56"/>
      <c r="FI1547" s="56"/>
      <c r="FJ1547" s="56"/>
      <c r="FK1547" s="56"/>
      <c r="FL1547" s="56"/>
      <c r="FM1547" s="56"/>
      <c r="FN1547" s="56"/>
      <c r="FO1547" s="56"/>
      <c r="FP1547" s="56"/>
      <c r="FQ1547" s="56"/>
      <c r="FR1547" s="56"/>
      <c r="FS1547" s="56"/>
      <c r="FT1547" s="56"/>
      <c r="FU1547" s="56"/>
      <c r="FV1547" s="56"/>
      <c r="FW1547" s="56"/>
      <c r="FX1547" s="56"/>
      <c r="FY1547" s="56"/>
      <c r="FZ1547" s="56"/>
      <c r="GA1547" s="56"/>
      <c r="GB1547" s="56"/>
      <c r="GC1547" s="56"/>
      <c r="GD1547" s="56"/>
      <c r="GE1547" s="56"/>
      <c r="GF1547" s="56"/>
    </row>
    <row r="1548" spans="1:57" s="43" customFormat="1" ht="15.75">
      <c r="A1548" s="13"/>
      <c r="B1548" s="93" t="s">
        <v>669</v>
      </c>
      <c r="C1548" s="15"/>
      <c r="D1548" s="40"/>
      <c r="E1548" s="40"/>
      <c r="F1548" s="40"/>
      <c r="G1548" s="40"/>
      <c r="H1548" s="40"/>
      <c r="I1548" s="40"/>
      <c r="J1548" s="40"/>
      <c r="K1548" s="40"/>
      <c r="L1548" s="60" t="str">
        <f>L1549</f>
        <v> -</v>
      </c>
      <c r="M1548" s="60">
        <f>M1549</f>
        <v>1</v>
      </c>
      <c r="N1548" s="60">
        <f>N1549</f>
        <v>1</v>
      </c>
      <c r="O1548" s="60">
        <f>O1549</f>
        <v>3</v>
      </c>
      <c r="P1548" s="60">
        <f>P1549</f>
        <v>1</v>
      </c>
      <c r="Q1548" s="70"/>
      <c r="R1548" s="41"/>
      <c r="S1548" s="41"/>
      <c r="T1548" s="46"/>
      <c r="U1548" s="46"/>
      <c r="V1548" s="46"/>
      <c r="W1548" s="46"/>
      <c r="X1548" s="46"/>
      <c r="Y1548" s="46"/>
      <c r="Z1548" s="46"/>
      <c r="AA1548" s="46"/>
      <c r="AB1548" s="46"/>
      <c r="AC1548" s="46"/>
      <c r="AD1548" s="46"/>
      <c r="AE1548" s="46"/>
      <c r="AF1548" s="46"/>
      <c r="AG1548" s="46"/>
      <c r="AH1548" s="46"/>
      <c r="AI1548" s="46"/>
      <c r="AJ1548" s="46"/>
      <c r="AK1548" s="46"/>
      <c r="AL1548" s="46"/>
      <c r="AM1548" s="46"/>
      <c r="AN1548" s="46"/>
      <c r="AO1548" s="46"/>
      <c r="AP1548" s="46"/>
      <c r="AQ1548" s="46"/>
      <c r="AR1548" s="46"/>
      <c r="AS1548" s="46"/>
      <c r="AT1548" s="46"/>
      <c r="AU1548" s="46"/>
      <c r="AV1548" s="46"/>
      <c r="BA1548" s="49"/>
      <c r="BB1548" s="42"/>
      <c r="BC1548" s="42"/>
      <c r="BD1548" s="42"/>
      <c r="BE1548" s="42"/>
    </row>
    <row r="1549" spans="1:48" s="43" customFormat="1" ht="19.5" customHeight="1">
      <c r="A1549" s="13"/>
      <c r="B1549" s="97" t="s">
        <v>446</v>
      </c>
      <c r="C1549" s="29" t="s">
        <v>447</v>
      </c>
      <c r="D1549" s="40"/>
      <c r="E1549" s="40"/>
      <c r="F1549" s="40"/>
      <c r="G1549" s="40"/>
      <c r="H1549" s="40"/>
      <c r="I1549" s="40"/>
      <c r="J1549" s="40"/>
      <c r="K1549" s="40"/>
      <c r="L1549" s="40" t="s">
        <v>556</v>
      </c>
      <c r="M1549" s="40">
        <v>1</v>
      </c>
      <c r="N1549" s="40">
        <v>1</v>
      </c>
      <c r="O1549" s="40">
        <v>3</v>
      </c>
      <c r="P1549" s="40">
        <v>1</v>
      </c>
      <c r="Q1549" s="69"/>
      <c r="R1549" s="69"/>
      <c r="S1549" s="69"/>
      <c r="T1549" s="46"/>
      <c r="U1549" s="46"/>
      <c r="V1549" s="46"/>
      <c r="W1549" s="46"/>
      <c r="X1549" s="46"/>
      <c r="Y1549" s="46"/>
      <c r="Z1549" s="46"/>
      <c r="AA1549" s="46"/>
      <c r="AB1549" s="46"/>
      <c r="AC1549" s="46"/>
      <c r="AD1549" s="46"/>
      <c r="AE1549" s="46"/>
      <c r="AF1549" s="46"/>
      <c r="AG1549" s="46"/>
      <c r="AH1549" s="46"/>
      <c r="AI1549" s="46"/>
      <c r="AJ1549" s="46"/>
      <c r="AK1549" s="46"/>
      <c r="AL1549" s="46"/>
      <c r="AM1549" s="46"/>
      <c r="AN1549" s="46"/>
      <c r="AO1549" s="46"/>
      <c r="AP1549" s="46"/>
      <c r="AQ1549" s="46"/>
      <c r="AR1549" s="46"/>
      <c r="AS1549" s="46"/>
      <c r="AT1549" s="46"/>
      <c r="AU1549" s="46"/>
      <c r="AV1549" s="46"/>
    </row>
    <row r="1550" spans="1:57" s="43" customFormat="1" ht="15.75">
      <c r="A1550" s="13"/>
      <c r="B1550" s="93" t="s">
        <v>37</v>
      </c>
      <c r="C1550" s="15"/>
      <c r="D1550" s="40"/>
      <c r="E1550" s="40"/>
      <c r="F1550" s="40"/>
      <c r="G1550" s="40"/>
      <c r="H1550" s="40"/>
      <c r="I1550" s="40"/>
      <c r="J1550" s="40"/>
      <c r="K1550" s="40"/>
      <c r="L1550" s="60" t="str">
        <f>L1551</f>
        <v> -</v>
      </c>
      <c r="M1550" s="60">
        <f>M1551</f>
        <v>1</v>
      </c>
      <c r="N1550" s="60" t="str">
        <f>N1551</f>
        <v> -</v>
      </c>
      <c r="O1550" s="60" t="str">
        <f>O1551</f>
        <v> -</v>
      </c>
      <c r="P1550" s="60" t="str">
        <f>P1551</f>
        <v> -</v>
      </c>
      <c r="Q1550" s="70"/>
      <c r="R1550" s="41"/>
      <c r="S1550" s="41"/>
      <c r="T1550" s="46"/>
      <c r="U1550" s="46"/>
      <c r="V1550" s="46"/>
      <c r="W1550" s="46"/>
      <c r="X1550" s="46"/>
      <c r="Y1550" s="46"/>
      <c r="Z1550" s="46"/>
      <c r="AA1550" s="46"/>
      <c r="AB1550" s="46"/>
      <c r="AC1550" s="46"/>
      <c r="AD1550" s="46"/>
      <c r="AE1550" s="46"/>
      <c r="AF1550" s="46"/>
      <c r="AG1550" s="46"/>
      <c r="AH1550" s="46"/>
      <c r="AI1550" s="46"/>
      <c r="AJ1550" s="46"/>
      <c r="AK1550" s="46"/>
      <c r="AL1550" s="46"/>
      <c r="AM1550" s="46"/>
      <c r="AN1550" s="46"/>
      <c r="AO1550" s="46"/>
      <c r="AP1550" s="46"/>
      <c r="AQ1550" s="46"/>
      <c r="AR1550" s="46"/>
      <c r="AS1550" s="46"/>
      <c r="AT1550" s="46"/>
      <c r="AU1550" s="46"/>
      <c r="AV1550" s="46"/>
      <c r="BA1550" s="49"/>
      <c r="BB1550" s="42"/>
      <c r="BC1550" s="42"/>
      <c r="BD1550" s="42"/>
      <c r="BE1550" s="42"/>
    </row>
    <row r="1551" spans="1:57" s="43" customFormat="1" ht="17.25" customHeight="1">
      <c r="A1551" s="12"/>
      <c r="B1551" s="97" t="s">
        <v>38</v>
      </c>
      <c r="C1551" s="66" t="s">
        <v>457</v>
      </c>
      <c r="D1551" s="51"/>
      <c r="E1551" s="51"/>
      <c r="F1551" s="51" t="s">
        <v>556</v>
      </c>
      <c r="G1551" s="51">
        <v>2</v>
      </c>
      <c r="H1551" s="51">
        <v>2</v>
      </c>
      <c r="I1551" s="51">
        <v>2</v>
      </c>
      <c r="J1551" s="51">
        <v>2</v>
      </c>
      <c r="K1551" s="51">
        <v>2</v>
      </c>
      <c r="L1551" s="40" t="s">
        <v>556</v>
      </c>
      <c r="M1551" s="40">
        <v>1</v>
      </c>
      <c r="N1551" s="40" t="s">
        <v>556</v>
      </c>
      <c r="O1551" s="40" t="s">
        <v>556</v>
      </c>
      <c r="P1551" s="40" t="s">
        <v>556</v>
      </c>
      <c r="Q1551" s="70"/>
      <c r="R1551" s="41"/>
      <c r="S1551" s="41"/>
      <c r="T1551" s="46"/>
      <c r="U1551" s="46"/>
      <c r="V1551" s="46"/>
      <c r="W1551" s="46"/>
      <c r="X1551" s="46"/>
      <c r="Y1551" s="46"/>
      <c r="Z1551" s="46"/>
      <c r="AA1551" s="46"/>
      <c r="AB1551" s="46"/>
      <c r="AC1551" s="46"/>
      <c r="AD1551" s="46"/>
      <c r="AE1551" s="46"/>
      <c r="AF1551" s="46"/>
      <c r="AG1551" s="46"/>
      <c r="AH1551" s="46"/>
      <c r="AI1551" s="46"/>
      <c r="AJ1551" s="46"/>
      <c r="AK1551" s="46"/>
      <c r="AL1551" s="46"/>
      <c r="AM1551" s="46"/>
      <c r="AN1551" s="46"/>
      <c r="AO1551" s="46"/>
      <c r="AP1551" s="46"/>
      <c r="AQ1551" s="46"/>
      <c r="AR1551" s="46"/>
      <c r="AS1551" s="46"/>
      <c r="AT1551" s="46"/>
      <c r="AU1551" s="46"/>
      <c r="AV1551" s="46"/>
      <c r="BA1551" s="49"/>
      <c r="BB1551" s="42"/>
      <c r="BC1551" s="42"/>
      <c r="BD1551" s="42"/>
      <c r="BE1551" s="42"/>
    </row>
    <row r="1552" spans="1:19" ht="15" customHeight="1">
      <c r="A1552" s="399" t="s">
        <v>655</v>
      </c>
      <c r="B1552" s="399"/>
      <c r="C1552" s="399"/>
      <c r="D1552" s="399"/>
      <c r="E1552" s="399"/>
      <c r="F1552" s="399"/>
      <c r="G1552" s="399"/>
      <c r="H1552" s="399"/>
      <c r="I1552" s="399"/>
      <c r="J1552" s="399"/>
      <c r="K1552" s="399"/>
      <c r="L1552" s="399"/>
      <c r="M1552" s="399"/>
      <c r="N1552" s="399"/>
      <c r="O1552" s="399"/>
      <c r="P1552" s="399"/>
      <c r="Q1552" s="20"/>
      <c r="R1552" s="20"/>
      <c r="S1552" s="7"/>
    </row>
    <row r="1553" spans="1:19" ht="13.5" customHeight="1">
      <c r="A1553" s="400" t="s">
        <v>909</v>
      </c>
      <c r="B1553" s="400"/>
      <c r="C1553" s="400"/>
      <c r="D1553" s="400"/>
      <c r="E1553" s="400"/>
      <c r="F1553" s="400"/>
      <c r="G1553" s="400"/>
      <c r="H1553" s="400"/>
      <c r="I1553" s="400"/>
      <c r="J1553" s="400"/>
      <c r="K1553" s="400"/>
      <c r="L1553" s="400"/>
      <c r="M1553" s="400"/>
      <c r="N1553" s="400"/>
      <c r="O1553" s="400"/>
      <c r="P1553" s="400"/>
      <c r="Q1553" s="21"/>
      <c r="R1553" s="21"/>
      <c r="S1553" s="8"/>
    </row>
    <row r="1554" spans="1:188" s="57" customFormat="1" ht="18" customHeight="1">
      <c r="A1554" s="13">
        <v>94</v>
      </c>
      <c r="B1554" s="92" t="s">
        <v>314</v>
      </c>
      <c r="C1554" s="45"/>
      <c r="D1554" s="44">
        <v>55</v>
      </c>
      <c r="E1554" s="44">
        <v>21</v>
      </c>
      <c r="F1554" s="44">
        <v>88</v>
      </c>
      <c r="G1554" s="44">
        <v>56</v>
      </c>
      <c r="H1554" s="44">
        <v>56</v>
      </c>
      <c r="I1554" s="44">
        <v>56</v>
      </c>
      <c r="J1554" s="44">
        <v>56</v>
      </c>
      <c r="K1554" s="44">
        <v>56</v>
      </c>
      <c r="L1554" s="44">
        <f>SUM(L1555,L1561)</f>
        <v>1</v>
      </c>
      <c r="M1554" s="44">
        <f>SUM(M1555,M1561)</f>
        <v>4</v>
      </c>
      <c r="N1554" s="44">
        <f>SUM(N1555,N1561)</f>
        <v>2</v>
      </c>
      <c r="O1554" s="44">
        <f>SUM(O1555,O1561)</f>
        <v>9</v>
      </c>
      <c r="P1554" s="44">
        <f>SUM(P1555,P1561)</f>
        <v>3</v>
      </c>
      <c r="Q1554" s="54" t="s">
        <v>648</v>
      </c>
      <c r="R1554" s="54">
        <v>1</v>
      </c>
      <c r="S1554" s="55" t="s">
        <v>551</v>
      </c>
      <c r="T1554" s="56"/>
      <c r="U1554" s="56"/>
      <c r="V1554" s="56"/>
      <c r="W1554" s="56"/>
      <c r="X1554" s="56"/>
      <c r="Y1554" s="56"/>
      <c r="Z1554" s="56"/>
      <c r="AA1554" s="56"/>
      <c r="AB1554" s="56"/>
      <c r="AC1554" s="56"/>
      <c r="AD1554" s="56"/>
      <c r="AE1554" s="56"/>
      <c r="AF1554" s="56"/>
      <c r="AG1554" s="56"/>
      <c r="AH1554" s="56"/>
      <c r="AI1554" s="56"/>
      <c r="AJ1554" s="56"/>
      <c r="AK1554" s="56"/>
      <c r="AL1554" s="56"/>
      <c r="AM1554" s="56"/>
      <c r="AN1554" s="56"/>
      <c r="AO1554" s="56"/>
      <c r="AP1554" s="56"/>
      <c r="AQ1554" s="56"/>
      <c r="AR1554" s="56"/>
      <c r="AS1554" s="56"/>
      <c r="AT1554" s="56"/>
      <c r="AU1554" s="56"/>
      <c r="AV1554" s="56"/>
      <c r="AW1554" s="56"/>
      <c r="AX1554" s="56"/>
      <c r="AY1554" s="56"/>
      <c r="AZ1554" s="56"/>
      <c r="BA1554" s="56"/>
      <c r="BB1554" s="56"/>
      <c r="BC1554" s="56"/>
      <c r="BD1554" s="56"/>
      <c r="BE1554" s="56"/>
      <c r="BF1554" s="56"/>
      <c r="BG1554" s="56"/>
      <c r="BH1554" s="56"/>
      <c r="BI1554" s="56"/>
      <c r="BJ1554" s="56"/>
      <c r="BK1554" s="56"/>
      <c r="BL1554" s="56"/>
      <c r="BM1554" s="56"/>
      <c r="BN1554" s="56"/>
      <c r="BO1554" s="56"/>
      <c r="BP1554" s="56"/>
      <c r="BQ1554" s="56"/>
      <c r="BR1554" s="56"/>
      <c r="BS1554" s="56"/>
      <c r="BT1554" s="56"/>
      <c r="BU1554" s="56"/>
      <c r="BV1554" s="56"/>
      <c r="BW1554" s="56"/>
      <c r="BX1554" s="56"/>
      <c r="BY1554" s="56"/>
      <c r="BZ1554" s="56"/>
      <c r="CA1554" s="56"/>
      <c r="CB1554" s="56"/>
      <c r="CC1554" s="56"/>
      <c r="CD1554" s="56"/>
      <c r="CE1554" s="56"/>
      <c r="CF1554" s="56"/>
      <c r="CG1554" s="56"/>
      <c r="CH1554" s="56"/>
      <c r="CI1554" s="56"/>
      <c r="CJ1554" s="56"/>
      <c r="CK1554" s="56"/>
      <c r="CL1554" s="56"/>
      <c r="CM1554" s="56"/>
      <c r="CN1554" s="56"/>
      <c r="CO1554" s="56"/>
      <c r="CP1554" s="56"/>
      <c r="CQ1554" s="56"/>
      <c r="CR1554" s="56"/>
      <c r="CS1554" s="56"/>
      <c r="CT1554" s="56"/>
      <c r="CU1554" s="56"/>
      <c r="CV1554" s="56"/>
      <c r="CW1554" s="56"/>
      <c r="CX1554" s="56"/>
      <c r="CY1554" s="56"/>
      <c r="CZ1554" s="56"/>
      <c r="DA1554" s="56"/>
      <c r="DB1554" s="56"/>
      <c r="DC1554" s="56"/>
      <c r="DD1554" s="56"/>
      <c r="DE1554" s="56"/>
      <c r="DF1554" s="56"/>
      <c r="DG1554" s="56"/>
      <c r="DH1554" s="56"/>
      <c r="DI1554" s="56"/>
      <c r="DJ1554" s="56"/>
      <c r="DK1554" s="56"/>
      <c r="DL1554" s="56"/>
      <c r="DM1554" s="56"/>
      <c r="DN1554" s="56"/>
      <c r="DO1554" s="56"/>
      <c r="DP1554" s="56"/>
      <c r="DQ1554" s="56"/>
      <c r="DR1554" s="56"/>
      <c r="DS1554" s="56"/>
      <c r="DT1554" s="56"/>
      <c r="DU1554" s="56"/>
      <c r="DV1554" s="56"/>
      <c r="DW1554" s="56"/>
      <c r="DX1554" s="56"/>
      <c r="DY1554" s="56"/>
      <c r="DZ1554" s="56"/>
      <c r="EA1554" s="56"/>
      <c r="EB1554" s="56"/>
      <c r="EC1554" s="56"/>
      <c r="ED1554" s="56"/>
      <c r="EE1554" s="56"/>
      <c r="EF1554" s="56"/>
      <c r="EG1554" s="56"/>
      <c r="EH1554" s="56"/>
      <c r="EI1554" s="56"/>
      <c r="EJ1554" s="56"/>
      <c r="EK1554" s="56"/>
      <c r="EL1554" s="56"/>
      <c r="EM1554" s="56"/>
      <c r="EN1554" s="56"/>
      <c r="EO1554" s="56"/>
      <c r="EP1554" s="56"/>
      <c r="EQ1554" s="56"/>
      <c r="ER1554" s="56"/>
      <c r="ES1554" s="56"/>
      <c r="ET1554" s="56"/>
      <c r="EU1554" s="56"/>
      <c r="EV1554" s="56"/>
      <c r="EW1554" s="56"/>
      <c r="EX1554" s="56"/>
      <c r="EY1554" s="56"/>
      <c r="EZ1554" s="56"/>
      <c r="FA1554" s="56"/>
      <c r="FB1554" s="56"/>
      <c r="FC1554" s="56"/>
      <c r="FD1554" s="56"/>
      <c r="FE1554" s="56"/>
      <c r="FF1554" s="56"/>
      <c r="FG1554" s="56"/>
      <c r="FH1554" s="56"/>
      <c r="FI1554" s="56"/>
      <c r="FJ1554" s="56"/>
      <c r="FK1554" s="56"/>
      <c r="FL1554" s="56"/>
      <c r="FM1554" s="56"/>
      <c r="FN1554" s="56"/>
      <c r="FO1554" s="56"/>
      <c r="FP1554" s="56"/>
      <c r="FQ1554" s="56"/>
      <c r="FR1554" s="56"/>
      <c r="FS1554" s="56"/>
      <c r="FT1554" s="56"/>
      <c r="FU1554" s="56"/>
      <c r="FV1554" s="56"/>
      <c r="FW1554" s="56"/>
      <c r="FX1554" s="56"/>
      <c r="FY1554" s="56"/>
      <c r="FZ1554" s="56"/>
      <c r="GA1554" s="56"/>
      <c r="GB1554" s="56"/>
      <c r="GC1554" s="56"/>
      <c r="GD1554" s="56"/>
      <c r="GE1554" s="56"/>
      <c r="GF1554" s="56"/>
    </row>
    <row r="1555" spans="1:48" s="18" customFormat="1" ht="15" customHeight="1">
      <c r="A1555" s="50"/>
      <c r="B1555" s="93" t="s">
        <v>669</v>
      </c>
      <c r="C1555" s="16"/>
      <c r="D1555" s="52"/>
      <c r="E1555" s="51"/>
      <c r="F1555" s="52"/>
      <c r="G1555" s="52"/>
      <c r="H1555" s="52"/>
      <c r="I1555" s="52"/>
      <c r="J1555" s="52"/>
      <c r="K1555" s="52"/>
      <c r="L1555" s="60">
        <f>SUM(L1556:L1560)</f>
        <v>1</v>
      </c>
      <c r="M1555" s="60">
        <f>SUM(M1556:M1560)</f>
        <v>4</v>
      </c>
      <c r="N1555" s="60" t="s">
        <v>556</v>
      </c>
      <c r="O1555" s="60">
        <f>SUM(O1556:O1560)</f>
        <v>5</v>
      </c>
      <c r="P1555" s="60">
        <f>SUM(P1556:P1560)</f>
        <v>2</v>
      </c>
      <c r="Q1555" s="238">
        <f>SUM(Q1556:Q1563)</f>
        <v>0</v>
      </c>
      <c r="R1555" s="52">
        <f>SUM(R1556:R1563)</f>
        <v>0</v>
      </c>
      <c r="S1555" s="52">
        <f>SUM(S1556:S1563)</f>
        <v>0</v>
      </c>
      <c r="T1555" s="47"/>
      <c r="U1555" s="47"/>
      <c r="V1555" s="47"/>
      <c r="W1555" s="47"/>
      <c r="X1555" s="47"/>
      <c r="Y1555" s="47"/>
      <c r="Z1555" s="47"/>
      <c r="AA1555" s="47"/>
      <c r="AB1555" s="47"/>
      <c r="AC1555" s="47"/>
      <c r="AD1555" s="47"/>
      <c r="AE1555" s="47"/>
      <c r="AF1555" s="47"/>
      <c r="AG1555" s="47"/>
      <c r="AH1555" s="47"/>
      <c r="AI1555" s="47"/>
      <c r="AJ1555" s="47"/>
      <c r="AK1555" s="47"/>
      <c r="AL1555" s="47"/>
      <c r="AM1555" s="47"/>
      <c r="AN1555" s="47"/>
      <c r="AO1555" s="47"/>
      <c r="AP1555" s="47"/>
      <c r="AQ1555" s="47"/>
      <c r="AR1555" s="47"/>
      <c r="AS1555" s="47"/>
      <c r="AT1555" s="47"/>
      <c r="AU1555" s="47"/>
      <c r="AV1555" s="47"/>
    </row>
    <row r="1556" spans="1:48" s="27" customFormat="1" ht="15" customHeight="1">
      <c r="A1556" s="12"/>
      <c r="B1556" s="97" t="s">
        <v>644</v>
      </c>
      <c r="C1556" s="29" t="s">
        <v>645</v>
      </c>
      <c r="D1556" s="51"/>
      <c r="E1556" s="51"/>
      <c r="F1556" s="51" t="s">
        <v>556</v>
      </c>
      <c r="G1556" s="51">
        <v>17</v>
      </c>
      <c r="H1556" s="51">
        <v>17</v>
      </c>
      <c r="I1556" s="51">
        <v>17</v>
      </c>
      <c r="J1556" s="51">
        <v>17</v>
      </c>
      <c r="K1556" s="51">
        <v>17</v>
      </c>
      <c r="L1556" s="40" t="s">
        <v>556</v>
      </c>
      <c r="M1556" s="40">
        <v>2</v>
      </c>
      <c r="N1556" s="40" t="s">
        <v>556</v>
      </c>
      <c r="O1556" s="40">
        <v>3</v>
      </c>
      <c r="P1556" s="40" t="s">
        <v>556</v>
      </c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</row>
    <row r="1557" spans="1:48" s="27" customFormat="1" ht="15" customHeight="1">
      <c r="A1557" s="12"/>
      <c r="B1557" s="97" t="s">
        <v>560</v>
      </c>
      <c r="C1557" s="15" t="s">
        <v>1319</v>
      </c>
      <c r="D1557" s="51"/>
      <c r="E1557" s="51"/>
      <c r="F1557" s="51"/>
      <c r="G1557" s="51">
        <v>2</v>
      </c>
      <c r="H1557" s="51">
        <v>2</v>
      </c>
      <c r="I1557" s="51">
        <v>2</v>
      </c>
      <c r="J1557" s="51">
        <v>2</v>
      </c>
      <c r="K1557" s="51">
        <v>2</v>
      </c>
      <c r="L1557" s="40" t="s">
        <v>556</v>
      </c>
      <c r="M1557" s="40" t="s">
        <v>556</v>
      </c>
      <c r="N1557" s="40" t="s">
        <v>556</v>
      </c>
      <c r="O1557" s="40" t="s">
        <v>556</v>
      </c>
      <c r="P1557" s="40">
        <v>1</v>
      </c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</row>
    <row r="1558" spans="1:48" s="27" customFormat="1" ht="15" customHeight="1">
      <c r="A1558" s="12"/>
      <c r="B1558" s="97" t="s">
        <v>1351</v>
      </c>
      <c r="C1558" s="15" t="s">
        <v>1352</v>
      </c>
      <c r="D1558" s="51"/>
      <c r="E1558" s="51"/>
      <c r="F1558" s="51"/>
      <c r="G1558" s="51">
        <v>7</v>
      </c>
      <c r="H1558" s="51">
        <v>7</v>
      </c>
      <c r="I1558" s="51">
        <v>7</v>
      </c>
      <c r="J1558" s="51">
        <v>7</v>
      </c>
      <c r="K1558" s="51">
        <v>7</v>
      </c>
      <c r="L1558" s="40" t="s">
        <v>556</v>
      </c>
      <c r="M1558" s="40">
        <v>2</v>
      </c>
      <c r="N1558" s="40" t="s">
        <v>556</v>
      </c>
      <c r="O1558" s="40">
        <v>2</v>
      </c>
      <c r="P1558" s="40" t="s">
        <v>556</v>
      </c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</row>
    <row r="1559" spans="1:48" s="27" customFormat="1" ht="15" customHeight="1">
      <c r="A1559" s="12"/>
      <c r="B1559" s="105" t="s">
        <v>1303</v>
      </c>
      <c r="C1559" s="15">
        <v>15050334</v>
      </c>
      <c r="D1559" s="51"/>
      <c r="E1559" s="51"/>
      <c r="F1559" s="51"/>
      <c r="G1559" s="51">
        <v>1</v>
      </c>
      <c r="H1559" s="51">
        <v>1</v>
      </c>
      <c r="I1559" s="51">
        <v>1</v>
      </c>
      <c r="J1559" s="51">
        <v>1</v>
      </c>
      <c r="K1559" s="51">
        <v>1</v>
      </c>
      <c r="L1559" s="40">
        <v>1</v>
      </c>
      <c r="M1559" s="40" t="s">
        <v>556</v>
      </c>
      <c r="N1559" s="40" t="s">
        <v>556</v>
      </c>
      <c r="O1559" s="40" t="s">
        <v>556</v>
      </c>
      <c r="P1559" s="40" t="s">
        <v>556</v>
      </c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</row>
    <row r="1560" spans="1:48" s="27" customFormat="1" ht="15" customHeight="1">
      <c r="A1560" s="12"/>
      <c r="B1560" s="97" t="s">
        <v>797</v>
      </c>
      <c r="C1560" s="29" t="s">
        <v>798</v>
      </c>
      <c r="D1560" s="51"/>
      <c r="E1560" s="51"/>
      <c r="F1560" s="51"/>
      <c r="G1560" s="51">
        <v>2</v>
      </c>
      <c r="H1560" s="51">
        <v>2</v>
      </c>
      <c r="I1560" s="51">
        <v>2</v>
      </c>
      <c r="J1560" s="51">
        <v>2</v>
      </c>
      <c r="K1560" s="51">
        <v>2</v>
      </c>
      <c r="L1560" s="40" t="s">
        <v>556</v>
      </c>
      <c r="M1560" s="40" t="s">
        <v>556</v>
      </c>
      <c r="N1560" s="40" t="s">
        <v>556</v>
      </c>
      <c r="O1560" s="40" t="s">
        <v>556</v>
      </c>
      <c r="P1560" s="40">
        <v>1</v>
      </c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</row>
    <row r="1561" spans="1:48" s="18" customFormat="1" ht="15" customHeight="1">
      <c r="A1561" s="50"/>
      <c r="B1561" s="93" t="s">
        <v>37</v>
      </c>
      <c r="C1561" s="16"/>
      <c r="D1561" s="52"/>
      <c r="E1561" s="51"/>
      <c r="F1561" s="52"/>
      <c r="G1561" s="52"/>
      <c r="H1561" s="52"/>
      <c r="I1561" s="52"/>
      <c r="J1561" s="52"/>
      <c r="K1561" s="52"/>
      <c r="L1561" s="60" t="s">
        <v>556</v>
      </c>
      <c r="M1561" s="60" t="s">
        <v>556</v>
      </c>
      <c r="N1561" s="60">
        <f aca="true" t="shared" si="63" ref="N1561:S1561">SUM(N1562:N1566)</f>
        <v>2</v>
      </c>
      <c r="O1561" s="60">
        <f t="shared" si="63"/>
        <v>4</v>
      </c>
      <c r="P1561" s="60">
        <f t="shared" si="63"/>
        <v>1</v>
      </c>
      <c r="Q1561" s="238">
        <f t="shared" si="63"/>
        <v>0</v>
      </c>
      <c r="R1561" s="52">
        <f t="shared" si="63"/>
        <v>0</v>
      </c>
      <c r="S1561" s="52">
        <f t="shared" si="63"/>
        <v>0</v>
      </c>
      <c r="T1561" s="47"/>
      <c r="U1561" s="47"/>
      <c r="V1561" s="47"/>
      <c r="W1561" s="47"/>
      <c r="X1561" s="47"/>
      <c r="Y1561" s="47"/>
      <c r="Z1561" s="47"/>
      <c r="AA1561" s="47"/>
      <c r="AB1561" s="47"/>
      <c r="AC1561" s="47"/>
      <c r="AD1561" s="47"/>
      <c r="AE1561" s="47"/>
      <c r="AF1561" s="47"/>
      <c r="AG1561" s="47"/>
      <c r="AH1561" s="47"/>
      <c r="AI1561" s="47"/>
      <c r="AJ1561" s="47"/>
      <c r="AK1561" s="47"/>
      <c r="AL1561" s="47"/>
      <c r="AM1561" s="47"/>
      <c r="AN1561" s="47"/>
      <c r="AO1561" s="47"/>
      <c r="AP1561" s="47"/>
      <c r="AQ1561" s="47"/>
      <c r="AR1561" s="47"/>
      <c r="AS1561" s="47"/>
      <c r="AT1561" s="47"/>
      <c r="AU1561" s="47"/>
      <c r="AV1561" s="47"/>
    </row>
    <row r="1562" spans="1:48" s="27" customFormat="1" ht="15" customHeight="1">
      <c r="A1562" s="12"/>
      <c r="B1562" s="117" t="s">
        <v>111</v>
      </c>
      <c r="C1562" s="65" t="s">
        <v>112</v>
      </c>
      <c r="D1562" s="51"/>
      <c r="E1562" s="51"/>
      <c r="F1562" s="51" t="s">
        <v>556</v>
      </c>
      <c r="G1562" s="51">
        <v>1</v>
      </c>
      <c r="H1562" s="51">
        <v>1</v>
      </c>
      <c r="I1562" s="51">
        <v>1</v>
      </c>
      <c r="J1562" s="51">
        <v>1</v>
      </c>
      <c r="K1562" s="51">
        <v>1</v>
      </c>
      <c r="L1562" s="40" t="s">
        <v>556</v>
      </c>
      <c r="M1562" s="40" t="s">
        <v>556</v>
      </c>
      <c r="N1562" s="40" t="s">
        <v>556</v>
      </c>
      <c r="O1562" s="40">
        <v>1</v>
      </c>
      <c r="P1562" s="40" t="s">
        <v>556</v>
      </c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</row>
    <row r="1563" spans="1:48" s="27" customFormat="1" ht="15" customHeight="1">
      <c r="A1563" s="12"/>
      <c r="B1563" s="97" t="s">
        <v>38</v>
      </c>
      <c r="C1563" s="65" t="s">
        <v>457</v>
      </c>
      <c r="D1563" s="51"/>
      <c r="E1563" s="51"/>
      <c r="F1563" s="51" t="s">
        <v>556</v>
      </c>
      <c r="G1563" s="51">
        <v>2</v>
      </c>
      <c r="H1563" s="51">
        <v>2</v>
      </c>
      <c r="I1563" s="51">
        <v>2</v>
      </c>
      <c r="J1563" s="51">
        <v>2</v>
      </c>
      <c r="K1563" s="51">
        <v>2</v>
      </c>
      <c r="L1563" s="40" t="s">
        <v>556</v>
      </c>
      <c r="M1563" s="40" t="s">
        <v>556</v>
      </c>
      <c r="N1563" s="40" t="s">
        <v>556</v>
      </c>
      <c r="O1563" s="40">
        <v>1</v>
      </c>
      <c r="P1563" s="40" t="s">
        <v>556</v>
      </c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</row>
    <row r="1564" spans="1:48" s="27" customFormat="1" ht="15" customHeight="1">
      <c r="A1564" s="12"/>
      <c r="B1564" s="97" t="s">
        <v>887</v>
      </c>
      <c r="C1564" s="66" t="s">
        <v>888</v>
      </c>
      <c r="D1564" s="51"/>
      <c r="E1564" s="51"/>
      <c r="F1564" s="51" t="s">
        <v>556</v>
      </c>
      <c r="G1564" s="51">
        <v>1</v>
      </c>
      <c r="H1564" s="51">
        <v>1</v>
      </c>
      <c r="I1564" s="51">
        <v>1</v>
      </c>
      <c r="J1564" s="51">
        <v>1</v>
      </c>
      <c r="K1564" s="51">
        <v>1</v>
      </c>
      <c r="L1564" s="40" t="s">
        <v>556</v>
      </c>
      <c r="M1564" s="40" t="s">
        <v>556</v>
      </c>
      <c r="N1564" s="40">
        <v>1</v>
      </c>
      <c r="O1564" s="40" t="s">
        <v>556</v>
      </c>
      <c r="P1564" s="40" t="s">
        <v>556</v>
      </c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</row>
    <row r="1565" spans="1:48" s="27" customFormat="1" ht="15" customHeight="1">
      <c r="A1565" s="12"/>
      <c r="B1565" s="106" t="s">
        <v>1018</v>
      </c>
      <c r="C1565" s="66" t="s">
        <v>1019</v>
      </c>
      <c r="D1565" s="51"/>
      <c r="E1565" s="51"/>
      <c r="F1565" s="51"/>
      <c r="G1565" s="51">
        <v>1</v>
      </c>
      <c r="H1565" s="51">
        <v>1</v>
      </c>
      <c r="I1565" s="51">
        <v>1</v>
      </c>
      <c r="J1565" s="51">
        <v>1</v>
      </c>
      <c r="K1565" s="51">
        <v>1</v>
      </c>
      <c r="L1565" s="40" t="s">
        <v>556</v>
      </c>
      <c r="M1565" s="40" t="s">
        <v>556</v>
      </c>
      <c r="N1565" s="40" t="s">
        <v>556</v>
      </c>
      <c r="O1565" s="40">
        <v>1</v>
      </c>
      <c r="P1565" s="40" t="s">
        <v>556</v>
      </c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</row>
    <row r="1566" spans="1:48" s="27" customFormat="1" ht="15" customHeight="1">
      <c r="A1566" s="12"/>
      <c r="B1566" s="97" t="s">
        <v>805</v>
      </c>
      <c r="C1566" s="29" t="s">
        <v>806</v>
      </c>
      <c r="D1566" s="51"/>
      <c r="E1566" s="51"/>
      <c r="F1566" s="51" t="s">
        <v>556</v>
      </c>
      <c r="G1566" s="51">
        <v>1</v>
      </c>
      <c r="H1566" s="51">
        <v>1</v>
      </c>
      <c r="I1566" s="51">
        <v>1</v>
      </c>
      <c r="J1566" s="51">
        <v>1</v>
      </c>
      <c r="K1566" s="51">
        <v>1</v>
      </c>
      <c r="L1566" s="40" t="s">
        <v>556</v>
      </c>
      <c r="M1566" s="40" t="s">
        <v>556</v>
      </c>
      <c r="N1566" s="40">
        <v>1</v>
      </c>
      <c r="O1566" s="40">
        <v>1</v>
      </c>
      <c r="P1566" s="40">
        <v>1</v>
      </c>
      <c r="Q1566" s="33" t="s">
        <v>556</v>
      </c>
      <c r="R1566" s="28" t="s">
        <v>556</v>
      </c>
      <c r="S1566" s="28" t="s">
        <v>556</v>
      </c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</row>
    <row r="1567" spans="1:188" s="57" customFormat="1" ht="16.5" customHeight="1">
      <c r="A1567" s="13">
        <v>95</v>
      </c>
      <c r="B1567" s="92" t="s">
        <v>294</v>
      </c>
      <c r="C1567" s="45"/>
      <c r="D1567" s="44"/>
      <c r="E1567" s="44"/>
      <c r="F1567" s="44">
        <v>96</v>
      </c>
      <c r="G1567" s="44">
        <v>21</v>
      </c>
      <c r="H1567" s="44">
        <v>21</v>
      </c>
      <c r="I1567" s="44">
        <v>21</v>
      </c>
      <c r="J1567" s="44">
        <v>21</v>
      </c>
      <c r="K1567" s="44">
        <v>21</v>
      </c>
      <c r="L1567" s="44" t="s">
        <v>556</v>
      </c>
      <c r="M1567" s="44">
        <f>M1568</f>
        <v>2</v>
      </c>
      <c r="N1567" s="44">
        <f>N1568</f>
        <v>4</v>
      </c>
      <c r="O1567" s="44">
        <f>O1568</f>
        <v>4</v>
      </c>
      <c r="P1567" s="44">
        <f>P1568</f>
        <v>4</v>
      </c>
      <c r="Q1567" s="54" t="s">
        <v>648</v>
      </c>
      <c r="R1567" s="54">
        <v>15</v>
      </c>
      <c r="S1567" s="55" t="s">
        <v>1272</v>
      </c>
      <c r="T1567" s="56"/>
      <c r="U1567" s="56"/>
      <c r="V1567" s="56"/>
      <c r="W1567" s="56"/>
      <c r="X1567" s="56"/>
      <c r="Y1567" s="56"/>
      <c r="Z1567" s="56"/>
      <c r="AA1567" s="56"/>
      <c r="AB1567" s="56"/>
      <c r="AC1567" s="56"/>
      <c r="AD1567" s="56"/>
      <c r="AE1567" s="56"/>
      <c r="AF1567" s="56"/>
      <c r="AG1567" s="56"/>
      <c r="AH1567" s="56"/>
      <c r="AI1567" s="56"/>
      <c r="AJ1567" s="56"/>
      <c r="AK1567" s="56"/>
      <c r="AL1567" s="56"/>
      <c r="AM1567" s="56"/>
      <c r="AN1567" s="56"/>
      <c r="AO1567" s="56"/>
      <c r="AP1567" s="56"/>
      <c r="AQ1567" s="56"/>
      <c r="AR1567" s="56"/>
      <c r="AS1567" s="56"/>
      <c r="AT1567" s="56"/>
      <c r="AU1567" s="56"/>
      <c r="AV1567" s="56"/>
      <c r="AW1567" s="56"/>
      <c r="AX1567" s="56"/>
      <c r="AY1567" s="56"/>
      <c r="AZ1567" s="56"/>
      <c r="BA1567" s="56"/>
      <c r="BB1567" s="56"/>
      <c r="BC1567" s="56"/>
      <c r="BD1567" s="56"/>
      <c r="BE1567" s="56"/>
      <c r="BF1567" s="56"/>
      <c r="BG1567" s="56"/>
      <c r="BH1567" s="56"/>
      <c r="BI1567" s="56"/>
      <c r="BJ1567" s="56"/>
      <c r="BK1567" s="56"/>
      <c r="BL1567" s="56"/>
      <c r="BM1567" s="56"/>
      <c r="BN1567" s="56"/>
      <c r="BO1567" s="56"/>
      <c r="BP1567" s="56"/>
      <c r="BQ1567" s="56"/>
      <c r="BR1567" s="56"/>
      <c r="BS1567" s="56"/>
      <c r="BT1567" s="56"/>
      <c r="BU1567" s="56"/>
      <c r="BV1567" s="56"/>
      <c r="BW1567" s="56"/>
      <c r="BX1567" s="56"/>
      <c r="BY1567" s="56"/>
      <c r="BZ1567" s="56"/>
      <c r="CA1567" s="56"/>
      <c r="CB1567" s="56"/>
      <c r="CC1567" s="56"/>
      <c r="CD1567" s="56"/>
      <c r="CE1567" s="56"/>
      <c r="CF1567" s="56"/>
      <c r="CG1567" s="56"/>
      <c r="CH1567" s="56"/>
      <c r="CI1567" s="56"/>
      <c r="CJ1567" s="56"/>
      <c r="CK1567" s="56"/>
      <c r="CL1567" s="56"/>
      <c r="CM1567" s="56"/>
      <c r="CN1567" s="56"/>
      <c r="CO1567" s="56"/>
      <c r="CP1567" s="56"/>
      <c r="CQ1567" s="56"/>
      <c r="CR1567" s="56"/>
      <c r="CS1567" s="56"/>
      <c r="CT1567" s="56"/>
      <c r="CU1567" s="56"/>
      <c r="CV1567" s="56"/>
      <c r="CW1567" s="56"/>
      <c r="CX1567" s="56"/>
      <c r="CY1567" s="56"/>
      <c r="CZ1567" s="56"/>
      <c r="DA1567" s="56"/>
      <c r="DB1567" s="56"/>
      <c r="DC1567" s="56"/>
      <c r="DD1567" s="56"/>
      <c r="DE1567" s="56"/>
      <c r="DF1567" s="56"/>
      <c r="DG1567" s="56"/>
      <c r="DH1567" s="56"/>
      <c r="DI1567" s="56"/>
      <c r="DJ1567" s="56"/>
      <c r="DK1567" s="56"/>
      <c r="DL1567" s="56"/>
      <c r="DM1567" s="56"/>
      <c r="DN1567" s="56"/>
      <c r="DO1567" s="56"/>
      <c r="DP1567" s="56"/>
      <c r="DQ1567" s="56"/>
      <c r="DR1567" s="56"/>
      <c r="DS1567" s="56"/>
      <c r="DT1567" s="56"/>
      <c r="DU1567" s="56"/>
      <c r="DV1567" s="56"/>
      <c r="DW1567" s="56"/>
      <c r="DX1567" s="56"/>
      <c r="DY1567" s="56"/>
      <c r="DZ1567" s="56"/>
      <c r="EA1567" s="56"/>
      <c r="EB1567" s="56"/>
      <c r="EC1567" s="56"/>
      <c r="ED1567" s="56"/>
      <c r="EE1567" s="56"/>
      <c r="EF1567" s="56"/>
      <c r="EG1567" s="56"/>
      <c r="EH1567" s="56"/>
      <c r="EI1567" s="56"/>
      <c r="EJ1567" s="56"/>
      <c r="EK1567" s="56"/>
      <c r="EL1567" s="56"/>
      <c r="EM1567" s="56"/>
      <c r="EN1567" s="56"/>
      <c r="EO1567" s="56"/>
      <c r="EP1567" s="56"/>
      <c r="EQ1567" s="56"/>
      <c r="ER1567" s="56"/>
      <c r="ES1567" s="56"/>
      <c r="ET1567" s="56"/>
      <c r="EU1567" s="56"/>
      <c r="EV1567" s="56"/>
      <c r="EW1567" s="56"/>
      <c r="EX1567" s="56"/>
      <c r="EY1567" s="56"/>
      <c r="EZ1567" s="56"/>
      <c r="FA1567" s="56"/>
      <c r="FB1567" s="56"/>
      <c r="FC1567" s="56"/>
      <c r="FD1567" s="56"/>
      <c r="FE1567" s="56"/>
      <c r="FF1567" s="56"/>
      <c r="FG1567" s="56"/>
      <c r="FH1567" s="56"/>
      <c r="FI1567" s="56"/>
      <c r="FJ1567" s="56"/>
      <c r="FK1567" s="56"/>
      <c r="FL1567" s="56"/>
      <c r="FM1567" s="56"/>
      <c r="FN1567" s="56"/>
      <c r="FO1567" s="56"/>
      <c r="FP1567" s="56"/>
      <c r="FQ1567" s="56"/>
      <c r="FR1567" s="56"/>
      <c r="FS1567" s="56"/>
      <c r="FT1567" s="56"/>
      <c r="FU1567" s="56"/>
      <c r="FV1567" s="56"/>
      <c r="FW1567" s="56"/>
      <c r="FX1567" s="56"/>
      <c r="FY1567" s="56"/>
      <c r="FZ1567" s="56"/>
      <c r="GA1567" s="56"/>
      <c r="GB1567" s="56"/>
      <c r="GC1567" s="56"/>
      <c r="GD1567" s="56"/>
      <c r="GE1567" s="56"/>
      <c r="GF1567" s="56"/>
    </row>
    <row r="1568" spans="1:48" s="18" customFormat="1" ht="16.5" customHeight="1">
      <c r="A1568" s="50"/>
      <c r="B1568" s="93" t="s">
        <v>669</v>
      </c>
      <c r="C1568" s="16"/>
      <c r="D1568" s="52"/>
      <c r="E1568" s="52"/>
      <c r="F1568" s="52"/>
      <c r="G1568" s="52"/>
      <c r="H1568" s="52"/>
      <c r="I1568" s="52"/>
      <c r="J1568" s="52"/>
      <c r="K1568" s="52"/>
      <c r="L1568" s="60" t="str">
        <f>L1569</f>
        <v> -</v>
      </c>
      <c r="M1568" s="60">
        <f>SUM(M1569:M1571)</f>
        <v>2</v>
      </c>
      <c r="N1568" s="60">
        <f>SUM(N1569:N1571)</f>
        <v>4</v>
      </c>
      <c r="O1568" s="60">
        <f>SUM(O1569:O1571)</f>
        <v>4</v>
      </c>
      <c r="P1568" s="60">
        <f>SUM(P1569:P1571)</f>
        <v>4</v>
      </c>
      <c r="Q1568" s="23"/>
      <c r="R1568" s="23"/>
      <c r="S1568" s="17"/>
      <c r="T1568" s="47"/>
      <c r="U1568" s="47"/>
      <c r="V1568" s="47"/>
      <c r="W1568" s="47"/>
      <c r="X1568" s="47"/>
      <c r="Y1568" s="47"/>
      <c r="Z1568" s="47"/>
      <c r="AA1568" s="47"/>
      <c r="AB1568" s="47"/>
      <c r="AC1568" s="47"/>
      <c r="AD1568" s="47"/>
      <c r="AE1568" s="47"/>
      <c r="AF1568" s="47"/>
      <c r="AG1568" s="47"/>
      <c r="AH1568" s="47"/>
      <c r="AI1568" s="47"/>
      <c r="AJ1568" s="47"/>
      <c r="AK1568" s="47"/>
      <c r="AL1568" s="47"/>
      <c r="AM1568" s="47"/>
      <c r="AN1568" s="47"/>
      <c r="AO1568" s="47"/>
      <c r="AP1568" s="47"/>
      <c r="AQ1568" s="47"/>
      <c r="AR1568" s="47"/>
      <c r="AS1568" s="47"/>
      <c r="AT1568" s="47"/>
      <c r="AU1568" s="47"/>
      <c r="AV1568" s="47"/>
    </row>
    <row r="1569" spans="1:48" s="27" customFormat="1" ht="16.5" customHeight="1">
      <c r="A1569" s="12"/>
      <c r="B1569" s="97" t="s">
        <v>460</v>
      </c>
      <c r="C1569" s="29" t="s">
        <v>544</v>
      </c>
      <c r="D1569" s="51"/>
      <c r="E1569" s="51"/>
      <c r="F1569" s="51" t="s">
        <v>556</v>
      </c>
      <c r="G1569" s="51">
        <v>8</v>
      </c>
      <c r="H1569" s="51">
        <v>8</v>
      </c>
      <c r="I1569" s="51">
        <v>8</v>
      </c>
      <c r="J1569" s="51">
        <v>8</v>
      </c>
      <c r="K1569" s="51">
        <v>8</v>
      </c>
      <c r="L1569" s="40" t="s">
        <v>556</v>
      </c>
      <c r="M1569" s="40">
        <v>1</v>
      </c>
      <c r="N1569" s="40">
        <v>1</v>
      </c>
      <c r="O1569" s="40">
        <v>1</v>
      </c>
      <c r="P1569" s="40">
        <v>1</v>
      </c>
      <c r="Q1569" s="33"/>
      <c r="R1569" s="28"/>
      <c r="S1569" s="2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</row>
    <row r="1570" spans="1:48" s="27" customFormat="1" ht="16.5" customHeight="1">
      <c r="A1570" s="12"/>
      <c r="B1570" s="97" t="s">
        <v>555</v>
      </c>
      <c r="C1570" s="29" t="s">
        <v>445</v>
      </c>
      <c r="D1570" s="51"/>
      <c r="E1570" s="51"/>
      <c r="F1570" s="51"/>
      <c r="G1570" s="51"/>
      <c r="H1570" s="51"/>
      <c r="I1570" s="51"/>
      <c r="J1570" s="51"/>
      <c r="K1570" s="51"/>
      <c r="L1570" s="40" t="s">
        <v>556</v>
      </c>
      <c r="M1570" s="40">
        <v>1</v>
      </c>
      <c r="N1570" s="40">
        <v>1</v>
      </c>
      <c r="O1570" s="40">
        <v>1</v>
      </c>
      <c r="P1570" s="40">
        <v>1</v>
      </c>
      <c r="Q1570" s="30"/>
      <c r="R1570" s="30"/>
      <c r="S1570" s="30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</row>
    <row r="1571" spans="1:48" s="27" customFormat="1" ht="16.5" customHeight="1">
      <c r="A1571" s="12"/>
      <c r="B1571" s="97" t="s">
        <v>260</v>
      </c>
      <c r="C1571" s="15" t="s">
        <v>261</v>
      </c>
      <c r="D1571" s="51"/>
      <c r="E1571" s="51"/>
      <c r="F1571" s="51"/>
      <c r="G1571" s="51"/>
      <c r="H1571" s="51"/>
      <c r="I1571" s="51"/>
      <c r="J1571" s="51"/>
      <c r="K1571" s="51"/>
      <c r="L1571" s="40" t="s">
        <v>556</v>
      </c>
      <c r="M1571" s="40" t="s">
        <v>556</v>
      </c>
      <c r="N1571" s="40">
        <v>2</v>
      </c>
      <c r="O1571" s="40">
        <v>2</v>
      </c>
      <c r="P1571" s="40">
        <v>2</v>
      </c>
      <c r="Q1571" s="30"/>
      <c r="R1571" s="30"/>
      <c r="S1571" s="30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</row>
    <row r="1572" spans="1:19" ht="15" customHeight="1">
      <c r="A1572" s="399" t="s">
        <v>654</v>
      </c>
      <c r="B1572" s="399"/>
      <c r="C1572" s="399"/>
      <c r="D1572" s="399"/>
      <c r="E1572" s="399"/>
      <c r="F1572" s="399"/>
      <c r="G1572" s="399"/>
      <c r="H1572" s="399"/>
      <c r="I1572" s="399"/>
      <c r="J1572" s="399"/>
      <c r="K1572" s="399"/>
      <c r="L1572" s="399"/>
      <c r="M1572" s="399"/>
      <c r="N1572" s="399"/>
      <c r="O1572" s="399"/>
      <c r="P1572" s="399"/>
      <c r="Q1572" s="20"/>
      <c r="R1572" s="20"/>
      <c r="S1572" s="7"/>
    </row>
    <row r="1573" spans="1:19" ht="13.5" customHeight="1">
      <c r="A1573" s="400" t="s">
        <v>909</v>
      </c>
      <c r="B1573" s="400"/>
      <c r="C1573" s="400"/>
      <c r="D1573" s="400"/>
      <c r="E1573" s="400"/>
      <c r="F1573" s="400"/>
      <c r="G1573" s="400"/>
      <c r="H1573" s="400"/>
      <c r="I1573" s="400"/>
      <c r="J1573" s="400"/>
      <c r="K1573" s="400"/>
      <c r="L1573" s="400"/>
      <c r="M1573" s="400"/>
      <c r="N1573" s="400"/>
      <c r="O1573" s="400"/>
      <c r="P1573" s="400"/>
      <c r="Q1573" s="21"/>
      <c r="R1573" s="21"/>
      <c r="S1573" s="8"/>
    </row>
    <row r="1574" spans="1:188" s="57" customFormat="1" ht="15.75" customHeight="1">
      <c r="A1574" s="13">
        <v>96</v>
      </c>
      <c r="B1574" s="92" t="s">
        <v>467</v>
      </c>
      <c r="C1574" s="45"/>
      <c r="D1574" s="44">
        <v>78</v>
      </c>
      <c r="E1574" s="44">
        <v>4</v>
      </c>
      <c r="F1574" s="44">
        <v>25</v>
      </c>
      <c r="G1574" s="44">
        <v>82</v>
      </c>
      <c r="H1574" s="44">
        <v>82</v>
      </c>
      <c r="I1574" s="44">
        <v>84</v>
      </c>
      <c r="J1574" s="44">
        <v>86</v>
      </c>
      <c r="K1574" s="44">
        <v>86</v>
      </c>
      <c r="L1574" s="44">
        <f>SUM(L1575,L1578)</f>
        <v>2</v>
      </c>
      <c r="M1574" s="44">
        <v>2</v>
      </c>
      <c r="N1574" s="44" t="s">
        <v>556</v>
      </c>
      <c r="O1574" s="44" t="s">
        <v>556</v>
      </c>
      <c r="P1574" s="44" t="s">
        <v>556</v>
      </c>
      <c r="Q1574" s="54" t="s">
        <v>649</v>
      </c>
      <c r="R1574" s="54">
        <v>14</v>
      </c>
      <c r="S1574" s="55" t="s">
        <v>420</v>
      </c>
      <c r="T1574" s="56"/>
      <c r="U1574" s="56"/>
      <c r="V1574" s="56"/>
      <c r="W1574" s="56"/>
      <c r="X1574" s="56"/>
      <c r="Y1574" s="56"/>
      <c r="Z1574" s="56"/>
      <c r="AA1574" s="56"/>
      <c r="AB1574" s="56"/>
      <c r="AC1574" s="56"/>
      <c r="AD1574" s="56"/>
      <c r="AE1574" s="56"/>
      <c r="AF1574" s="56"/>
      <c r="AG1574" s="56"/>
      <c r="AH1574" s="56"/>
      <c r="AI1574" s="56"/>
      <c r="AJ1574" s="56"/>
      <c r="AK1574" s="56"/>
      <c r="AL1574" s="56"/>
      <c r="AM1574" s="56"/>
      <c r="AN1574" s="56"/>
      <c r="AO1574" s="56"/>
      <c r="AP1574" s="56"/>
      <c r="AQ1574" s="56"/>
      <c r="AR1574" s="56"/>
      <c r="AS1574" s="56"/>
      <c r="AT1574" s="56"/>
      <c r="AU1574" s="56"/>
      <c r="AV1574" s="56"/>
      <c r="AW1574" s="56"/>
      <c r="AX1574" s="56"/>
      <c r="AY1574" s="56"/>
      <c r="AZ1574" s="56"/>
      <c r="BA1574" s="56"/>
      <c r="BB1574" s="56"/>
      <c r="BC1574" s="56"/>
      <c r="BD1574" s="56"/>
      <c r="BE1574" s="56"/>
      <c r="BF1574" s="56"/>
      <c r="BG1574" s="56"/>
      <c r="BH1574" s="56"/>
      <c r="BI1574" s="56"/>
      <c r="BJ1574" s="56"/>
      <c r="BK1574" s="56"/>
      <c r="BL1574" s="56"/>
      <c r="BM1574" s="56"/>
      <c r="BN1574" s="56"/>
      <c r="BO1574" s="56"/>
      <c r="BP1574" s="56"/>
      <c r="BQ1574" s="56"/>
      <c r="BR1574" s="56"/>
      <c r="BS1574" s="56"/>
      <c r="BT1574" s="56"/>
      <c r="BU1574" s="56"/>
      <c r="BV1574" s="56"/>
      <c r="BW1574" s="56"/>
      <c r="BX1574" s="56"/>
      <c r="BY1574" s="56"/>
      <c r="BZ1574" s="56"/>
      <c r="CA1574" s="56"/>
      <c r="CB1574" s="56"/>
      <c r="CC1574" s="56"/>
      <c r="CD1574" s="56"/>
      <c r="CE1574" s="56"/>
      <c r="CF1574" s="56"/>
      <c r="CG1574" s="56"/>
      <c r="CH1574" s="56"/>
      <c r="CI1574" s="56"/>
      <c r="CJ1574" s="56"/>
      <c r="CK1574" s="56"/>
      <c r="CL1574" s="56"/>
      <c r="CM1574" s="56"/>
      <c r="CN1574" s="56"/>
      <c r="CO1574" s="56"/>
      <c r="CP1574" s="56"/>
      <c r="CQ1574" s="56"/>
      <c r="CR1574" s="56"/>
      <c r="CS1574" s="56"/>
      <c r="CT1574" s="56"/>
      <c r="CU1574" s="56"/>
      <c r="CV1574" s="56"/>
      <c r="CW1574" s="56"/>
      <c r="CX1574" s="56"/>
      <c r="CY1574" s="56"/>
      <c r="CZ1574" s="56"/>
      <c r="DA1574" s="56"/>
      <c r="DB1574" s="56"/>
      <c r="DC1574" s="56"/>
      <c r="DD1574" s="56"/>
      <c r="DE1574" s="56"/>
      <c r="DF1574" s="56"/>
      <c r="DG1574" s="56"/>
      <c r="DH1574" s="56"/>
      <c r="DI1574" s="56"/>
      <c r="DJ1574" s="56"/>
      <c r="DK1574" s="56"/>
      <c r="DL1574" s="56"/>
      <c r="DM1574" s="56"/>
      <c r="DN1574" s="56"/>
      <c r="DO1574" s="56"/>
      <c r="DP1574" s="56"/>
      <c r="DQ1574" s="56"/>
      <c r="DR1574" s="56"/>
      <c r="DS1574" s="56"/>
      <c r="DT1574" s="56"/>
      <c r="DU1574" s="56"/>
      <c r="DV1574" s="56"/>
      <c r="DW1574" s="56"/>
      <c r="DX1574" s="56"/>
      <c r="DY1574" s="56"/>
      <c r="DZ1574" s="56"/>
      <c r="EA1574" s="56"/>
      <c r="EB1574" s="56"/>
      <c r="EC1574" s="56"/>
      <c r="ED1574" s="56"/>
      <c r="EE1574" s="56"/>
      <c r="EF1574" s="56"/>
      <c r="EG1574" s="56"/>
      <c r="EH1574" s="56"/>
      <c r="EI1574" s="56"/>
      <c r="EJ1574" s="56"/>
      <c r="EK1574" s="56"/>
      <c r="EL1574" s="56"/>
      <c r="EM1574" s="56"/>
      <c r="EN1574" s="56"/>
      <c r="EO1574" s="56"/>
      <c r="EP1574" s="56"/>
      <c r="EQ1574" s="56"/>
      <c r="ER1574" s="56"/>
      <c r="ES1574" s="56"/>
      <c r="ET1574" s="56"/>
      <c r="EU1574" s="56"/>
      <c r="EV1574" s="56"/>
      <c r="EW1574" s="56"/>
      <c r="EX1574" s="56"/>
      <c r="EY1574" s="56"/>
      <c r="EZ1574" s="56"/>
      <c r="FA1574" s="56"/>
      <c r="FB1574" s="56"/>
      <c r="FC1574" s="56"/>
      <c r="FD1574" s="56"/>
      <c r="FE1574" s="56"/>
      <c r="FF1574" s="56"/>
      <c r="FG1574" s="56"/>
      <c r="FH1574" s="56"/>
      <c r="FI1574" s="56"/>
      <c r="FJ1574" s="56"/>
      <c r="FK1574" s="56"/>
      <c r="FL1574" s="56"/>
      <c r="FM1574" s="56"/>
      <c r="FN1574" s="56"/>
      <c r="FO1574" s="56"/>
      <c r="FP1574" s="56"/>
      <c r="FQ1574" s="56"/>
      <c r="FR1574" s="56"/>
      <c r="FS1574" s="56"/>
      <c r="FT1574" s="56"/>
      <c r="FU1574" s="56"/>
      <c r="FV1574" s="56"/>
      <c r="FW1574" s="56"/>
      <c r="FX1574" s="56"/>
      <c r="FY1574" s="56"/>
      <c r="FZ1574" s="56"/>
      <c r="GA1574" s="56"/>
      <c r="GB1574" s="56"/>
      <c r="GC1574" s="56"/>
      <c r="GD1574" s="56"/>
      <c r="GE1574" s="56"/>
      <c r="GF1574" s="56"/>
    </row>
    <row r="1575" spans="1:48" s="18" customFormat="1" ht="15.75" customHeight="1">
      <c r="A1575" s="50"/>
      <c r="B1575" s="93" t="s">
        <v>669</v>
      </c>
      <c r="C1575" s="16"/>
      <c r="D1575" s="52"/>
      <c r="E1575" s="52"/>
      <c r="F1575" s="52"/>
      <c r="G1575" s="52"/>
      <c r="H1575" s="52"/>
      <c r="I1575" s="52"/>
      <c r="J1575" s="52"/>
      <c r="K1575" s="52"/>
      <c r="L1575" s="60">
        <f>SUM(L1576:L1577)</f>
        <v>2</v>
      </c>
      <c r="M1575" s="60" t="s">
        <v>556</v>
      </c>
      <c r="N1575" s="60" t="s">
        <v>556</v>
      </c>
      <c r="O1575" s="60" t="s">
        <v>556</v>
      </c>
      <c r="P1575" s="60" t="s">
        <v>556</v>
      </c>
      <c r="Q1575" s="23"/>
      <c r="R1575" s="23"/>
      <c r="S1575" s="17"/>
      <c r="T1575" s="47"/>
      <c r="U1575" s="47"/>
      <c r="V1575" s="47"/>
      <c r="W1575" s="47"/>
      <c r="X1575" s="47"/>
      <c r="Y1575" s="47"/>
      <c r="Z1575" s="47"/>
      <c r="AA1575" s="47"/>
      <c r="AB1575" s="47"/>
      <c r="AC1575" s="47"/>
      <c r="AD1575" s="47"/>
      <c r="AE1575" s="47"/>
      <c r="AF1575" s="47"/>
      <c r="AG1575" s="47"/>
      <c r="AH1575" s="47"/>
      <c r="AI1575" s="47"/>
      <c r="AJ1575" s="47"/>
      <c r="AK1575" s="47"/>
      <c r="AL1575" s="47"/>
      <c r="AM1575" s="47"/>
      <c r="AN1575" s="47"/>
      <c r="AO1575" s="47"/>
      <c r="AP1575" s="47"/>
      <c r="AQ1575" s="47"/>
      <c r="AR1575" s="47"/>
      <c r="AS1575" s="47"/>
      <c r="AT1575" s="47"/>
      <c r="AU1575" s="47"/>
      <c r="AV1575" s="47"/>
    </row>
    <row r="1576" spans="1:48" s="27" customFormat="1" ht="15.75" customHeight="1">
      <c r="A1576" s="12"/>
      <c r="B1576" s="97" t="s">
        <v>560</v>
      </c>
      <c r="C1576" s="29" t="s">
        <v>1319</v>
      </c>
      <c r="D1576" s="51"/>
      <c r="E1576" s="51"/>
      <c r="F1576" s="51"/>
      <c r="G1576" s="51"/>
      <c r="H1576" s="51"/>
      <c r="I1576" s="51"/>
      <c r="J1576" s="51"/>
      <c r="K1576" s="51"/>
      <c r="L1576" s="40">
        <v>1</v>
      </c>
      <c r="M1576" s="40" t="s">
        <v>556</v>
      </c>
      <c r="N1576" s="40" t="s">
        <v>556</v>
      </c>
      <c r="O1576" s="40" t="s">
        <v>556</v>
      </c>
      <c r="P1576" s="40" t="s">
        <v>556</v>
      </c>
      <c r="Q1576" s="30"/>
      <c r="R1576" s="30"/>
      <c r="S1576" s="30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</row>
    <row r="1577" spans="1:48" s="27" customFormat="1" ht="15.75" customHeight="1">
      <c r="A1577" s="12"/>
      <c r="B1577" s="97" t="s">
        <v>1051</v>
      </c>
      <c r="C1577" s="29" t="s">
        <v>1052</v>
      </c>
      <c r="D1577" s="51"/>
      <c r="E1577" s="51"/>
      <c r="F1577" s="51"/>
      <c r="G1577" s="51"/>
      <c r="H1577" s="51"/>
      <c r="I1577" s="51"/>
      <c r="J1577" s="51"/>
      <c r="K1577" s="51"/>
      <c r="L1577" s="40">
        <v>1</v>
      </c>
      <c r="M1577" s="40" t="s">
        <v>556</v>
      </c>
      <c r="N1577" s="40" t="s">
        <v>556</v>
      </c>
      <c r="O1577" s="40" t="s">
        <v>556</v>
      </c>
      <c r="P1577" s="40" t="s">
        <v>556</v>
      </c>
      <c r="Q1577" s="33"/>
      <c r="R1577" s="28"/>
      <c r="S1577" s="2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</row>
    <row r="1578" spans="1:48" s="18" customFormat="1" ht="15.75" customHeight="1">
      <c r="A1578" s="50"/>
      <c r="B1578" s="93" t="s">
        <v>670</v>
      </c>
      <c r="C1578" s="16"/>
      <c r="D1578" s="52"/>
      <c r="E1578" s="51"/>
      <c r="F1578" s="52"/>
      <c r="G1578" s="52"/>
      <c r="H1578" s="52"/>
      <c r="I1578" s="52"/>
      <c r="J1578" s="52"/>
      <c r="K1578" s="52"/>
      <c r="L1578" s="60" t="str">
        <f>L1579</f>
        <v> -</v>
      </c>
      <c r="M1578" s="60">
        <f>M1579</f>
        <v>1</v>
      </c>
      <c r="N1578" s="60" t="str">
        <f>N1579</f>
        <v> -</v>
      </c>
      <c r="O1578" s="60" t="str">
        <f>O1579</f>
        <v> -</v>
      </c>
      <c r="P1578" s="60" t="str">
        <f>P1579</f>
        <v> -</v>
      </c>
      <c r="Q1578" s="23"/>
      <c r="R1578" s="23"/>
      <c r="S1578" s="17"/>
      <c r="T1578" s="47"/>
      <c r="U1578" s="47"/>
      <c r="V1578" s="47"/>
      <c r="W1578" s="47"/>
      <c r="X1578" s="47"/>
      <c r="Y1578" s="47"/>
      <c r="Z1578" s="47"/>
      <c r="AA1578" s="47"/>
      <c r="AB1578" s="47"/>
      <c r="AC1578" s="47"/>
      <c r="AD1578" s="47"/>
      <c r="AE1578" s="47"/>
      <c r="AF1578" s="47"/>
      <c r="AG1578" s="47"/>
      <c r="AH1578" s="47"/>
      <c r="AI1578" s="47"/>
      <c r="AJ1578" s="47"/>
      <c r="AK1578" s="47"/>
      <c r="AL1578" s="47"/>
      <c r="AM1578" s="47"/>
      <c r="AN1578" s="47"/>
      <c r="AO1578" s="47"/>
      <c r="AP1578" s="47"/>
      <c r="AQ1578" s="47"/>
      <c r="AR1578" s="47"/>
      <c r="AS1578" s="47"/>
      <c r="AT1578" s="47"/>
      <c r="AU1578" s="47"/>
      <c r="AV1578" s="47"/>
    </row>
    <row r="1579" spans="1:48" s="27" customFormat="1" ht="15.75" customHeight="1">
      <c r="A1579" s="12"/>
      <c r="B1579" s="97" t="s">
        <v>1321</v>
      </c>
      <c r="C1579" s="15" t="s">
        <v>1323</v>
      </c>
      <c r="D1579" s="51"/>
      <c r="E1579" s="51"/>
      <c r="F1579" s="51"/>
      <c r="G1579" s="51"/>
      <c r="H1579" s="51"/>
      <c r="I1579" s="51"/>
      <c r="J1579" s="51"/>
      <c r="K1579" s="51"/>
      <c r="L1579" s="40" t="s">
        <v>556</v>
      </c>
      <c r="M1579" s="40">
        <v>1</v>
      </c>
      <c r="N1579" s="40" t="s">
        <v>556</v>
      </c>
      <c r="O1579" s="40" t="s">
        <v>556</v>
      </c>
      <c r="P1579" s="40" t="s">
        <v>556</v>
      </c>
      <c r="Q1579" s="30"/>
      <c r="R1579" s="30"/>
      <c r="S1579" s="30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</row>
    <row r="1580" spans="1:48" s="18" customFormat="1" ht="15.75" customHeight="1">
      <c r="A1580" s="50"/>
      <c r="B1580" s="93" t="s">
        <v>37</v>
      </c>
      <c r="C1580" s="16"/>
      <c r="D1580" s="52"/>
      <c r="E1580" s="51"/>
      <c r="F1580" s="52"/>
      <c r="G1580" s="52"/>
      <c r="H1580" s="52"/>
      <c r="I1580" s="52"/>
      <c r="J1580" s="52"/>
      <c r="K1580" s="52"/>
      <c r="L1580" s="60" t="str">
        <f>L1581</f>
        <v> -</v>
      </c>
      <c r="M1580" s="60">
        <f>M1581</f>
        <v>1</v>
      </c>
      <c r="N1580" s="60" t="str">
        <f>N1581</f>
        <v> -</v>
      </c>
      <c r="O1580" s="60" t="str">
        <f>O1581</f>
        <v> -</v>
      </c>
      <c r="P1580" s="60" t="str">
        <f>P1581</f>
        <v> -</v>
      </c>
      <c r="Q1580" s="77"/>
      <c r="R1580" s="77"/>
      <c r="S1580" s="78"/>
      <c r="T1580" s="47"/>
      <c r="U1580" s="47"/>
      <c r="V1580" s="47"/>
      <c r="W1580" s="47"/>
      <c r="X1580" s="47"/>
      <c r="Y1580" s="47"/>
      <c r="Z1580" s="47"/>
      <c r="AA1580" s="47"/>
      <c r="AB1580" s="47"/>
      <c r="AC1580" s="47"/>
      <c r="AD1580" s="47"/>
      <c r="AE1580" s="47"/>
      <c r="AF1580" s="47"/>
      <c r="AG1580" s="47"/>
      <c r="AH1580" s="47"/>
      <c r="AI1580" s="47"/>
      <c r="AJ1580" s="47"/>
      <c r="AK1580" s="47"/>
      <c r="AL1580" s="47"/>
      <c r="AM1580" s="47"/>
      <c r="AN1580" s="47"/>
      <c r="AO1580" s="47"/>
      <c r="AP1580" s="47"/>
      <c r="AQ1580" s="47"/>
      <c r="AR1580" s="47"/>
      <c r="AS1580" s="47"/>
      <c r="AT1580" s="47"/>
      <c r="AU1580" s="47"/>
      <c r="AV1580" s="47"/>
    </row>
    <row r="1581" spans="1:48" s="27" customFormat="1" ht="15.75" customHeight="1">
      <c r="A1581" s="12"/>
      <c r="B1581" s="97" t="s">
        <v>887</v>
      </c>
      <c r="C1581" s="66" t="s">
        <v>888</v>
      </c>
      <c r="D1581" s="51"/>
      <c r="E1581" s="51"/>
      <c r="F1581" s="51"/>
      <c r="G1581" s="51"/>
      <c r="H1581" s="51"/>
      <c r="I1581" s="51"/>
      <c r="J1581" s="51"/>
      <c r="K1581" s="51"/>
      <c r="L1581" s="40" t="s">
        <v>556</v>
      </c>
      <c r="M1581" s="40">
        <v>1</v>
      </c>
      <c r="N1581" s="40" t="s">
        <v>556</v>
      </c>
      <c r="O1581" s="40" t="s">
        <v>556</v>
      </c>
      <c r="P1581" s="40" t="s">
        <v>556</v>
      </c>
      <c r="Q1581" s="30"/>
      <c r="R1581" s="30"/>
      <c r="S1581" s="30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</row>
    <row r="1582" spans="1:188" s="57" customFormat="1" ht="15.75" customHeight="1">
      <c r="A1582" s="13">
        <v>97</v>
      </c>
      <c r="B1582" s="92" t="s">
        <v>468</v>
      </c>
      <c r="C1582" s="45"/>
      <c r="D1582" s="44">
        <v>62</v>
      </c>
      <c r="E1582" s="44">
        <v>7</v>
      </c>
      <c r="F1582" s="44">
        <v>25</v>
      </c>
      <c r="G1582" s="44">
        <v>62</v>
      </c>
      <c r="H1582" s="44">
        <v>62</v>
      </c>
      <c r="I1582" s="44">
        <v>62</v>
      </c>
      <c r="J1582" s="44">
        <v>62</v>
      </c>
      <c r="K1582" s="44">
        <v>62</v>
      </c>
      <c r="L1582" s="44">
        <v>3</v>
      </c>
      <c r="M1582" s="44">
        <v>2</v>
      </c>
      <c r="N1582" s="44" t="s">
        <v>556</v>
      </c>
      <c r="O1582" s="44" t="s">
        <v>556</v>
      </c>
      <c r="P1582" s="44" t="s">
        <v>556</v>
      </c>
      <c r="Q1582" s="54" t="s">
        <v>649</v>
      </c>
      <c r="R1582" s="54">
        <v>14</v>
      </c>
      <c r="S1582" s="55" t="s">
        <v>420</v>
      </c>
      <c r="T1582" s="56"/>
      <c r="U1582" s="56"/>
      <c r="V1582" s="56"/>
      <c r="W1582" s="56"/>
      <c r="X1582" s="56"/>
      <c r="Y1582" s="56"/>
      <c r="Z1582" s="56"/>
      <c r="AA1582" s="56"/>
      <c r="AB1582" s="56"/>
      <c r="AC1582" s="56"/>
      <c r="AD1582" s="56"/>
      <c r="AE1582" s="56"/>
      <c r="AF1582" s="56"/>
      <c r="AG1582" s="56"/>
      <c r="AH1582" s="56"/>
      <c r="AI1582" s="56"/>
      <c r="AJ1582" s="56"/>
      <c r="AK1582" s="56"/>
      <c r="AL1582" s="56"/>
      <c r="AM1582" s="56"/>
      <c r="AN1582" s="56"/>
      <c r="AO1582" s="56"/>
      <c r="AP1582" s="56"/>
      <c r="AQ1582" s="56"/>
      <c r="AR1582" s="56"/>
      <c r="AS1582" s="56"/>
      <c r="AT1582" s="56"/>
      <c r="AU1582" s="56"/>
      <c r="AV1582" s="56"/>
      <c r="AW1582" s="56"/>
      <c r="AX1582" s="56"/>
      <c r="AY1582" s="56"/>
      <c r="AZ1582" s="56"/>
      <c r="BA1582" s="56"/>
      <c r="BB1582" s="56"/>
      <c r="BC1582" s="56"/>
      <c r="BD1582" s="56"/>
      <c r="BE1582" s="56"/>
      <c r="BF1582" s="56"/>
      <c r="BG1582" s="56"/>
      <c r="BH1582" s="56"/>
      <c r="BI1582" s="56"/>
      <c r="BJ1582" s="56"/>
      <c r="BK1582" s="56"/>
      <c r="BL1582" s="56"/>
      <c r="BM1582" s="56"/>
      <c r="BN1582" s="56"/>
      <c r="BO1582" s="56"/>
      <c r="BP1582" s="56"/>
      <c r="BQ1582" s="56"/>
      <c r="BR1582" s="56"/>
      <c r="BS1582" s="56"/>
      <c r="BT1582" s="56"/>
      <c r="BU1582" s="56"/>
      <c r="BV1582" s="56"/>
      <c r="BW1582" s="56"/>
      <c r="BX1582" s="56"/>
      <c r="BY1582" s="56"/>
      <c r="BZ1582" s="56"/>
      <c r="CA1582" s="56"/>
      <c r="CB1582" s="56"/>
      <c r="CC1582" s="56"/>
      <c r="CD1582" s="56"/>
      <c r="CE1582" s="56"/>
      <c r="CF1582" s="56"/>
      <c r="CG1582" s="56"/>
      <c r="CH1582" s="56"/>
      <c r="CI1582" s="56"/>
      <c r="CJ1582" s="56"/>
      <c r="CK1582" s="56"/>
      <c r="CL1582" s="56"/>
      <c r="CM1582" s="56"/>
      <c r="CN1582" s="56"/>
      <c r="CO1582" s="56"/>
      <c r="CP1582" s="56"/>
      <c r="CQ1582" s="56"/>
      <c r="CR1582" s="56"/>
      <c r="CS1582" s="56"/>
      <c r="CT1582" s="56"/>
      <c r="CU1582" s="56"/>
      <c r="CV1582" s="56"/>
      <c r="CW1582" s="56"/>
      <c r="CX1582" s="56"/>
      <c r="CY1582" s="56"/>
      <c r="CZ1582" s="56"/>
      <c r="DA1582" s="56"/>
      <c r="DB1582" s="56"/>
      <c r="DC1582" s="56"/>
      <c r="DD1582" s="56"/>
      <c r="DE1582" s="56"/>
      <c r="DF1582" s="56"/>
      <c r="DG1582" s="56"/>
      <c r="DH1582" s="56"/>
      <c r="DI1582" s="56"/>
      <c r="DJ1582" s="56"/>
      <c r="DK1582" s="56"/>
      <c r="DL1582" s="56"/>
      <c r="DM1582" s="56"/>
      <c r="DN1582" s="56"/>
      <c r="DO1582" s="56"/>
      <c r="DP1582" s="56"/>
      <c r="DQ1582" s="56"/>
      <c r="DR1582" s="56"/>
      <c r="DS1582" s="56"/>
      <c r="DT1582" s="56"/>
      <c r="DU1582" s="56"/>
      <c r="DV1582" s="56"/>
      <c r="DW1582" s="56"/>
      <c r="DX1582" s="56"/>
      <c r="DY1582" s="56"/>
      <c r="DZ1582" s="56"/>
      <c r="EA1582" s="56"/>
      <c r="EB1582" s="56"/>
      <c r="EC1582" s="56"/>
      <c r="ED1582" s="56"/>
      <c r="EE1582" s="56"/>
      <c r="EF1582" s="56"/>
      <c r="EG1582" s="56"/>
      <c r="EH1582" s="56"/>
      <c r="EI1582" s="56"/>
      <c r="EJ1582" s="56"/>
      <c r="EK1582" s="56"/>
      <c r="EL1582" s="56"/>
      <c r="EM1582" s="56"/>
      <c r="EN1582" s="56"/>
      <c r="EO1582" s="56"/>
      <c r="EP1582" s="56"/>
      <c r="EQ1582" s="56"/>
      <c r="ER1582" s="56"/>
      <c r="ES1582" s="56"/>
      <c r="ET1582" s="56"/>
      <c r="EU1582" s="56"/>
      <c r="EV1582" s="56"/>
      <c r="EW1582" s="56"/>
      <c r="EX1582" s="56"/>
      <c r="EY1582" s="56"/>
      <c r="EZ1582" s="56"/>
      <c r="FA1582" s="56"/>
      <c r="FB1582" s="56"/>
      <c r="FC1582" s="56"/>
      <c r="FD1582" s="56"/>
      <c r="FE1582" s="56"/>
      <c r="FF1582" s="56"/>
      <c r="FG1582" s="56"/>
      <c r="FH1582" s="56"/>
      <c r="FI1582" s="56"/>
      <c r="FJ1582" s="56"/>
      <c r="FK1582" s="56"/>
      <c r="FL1582" s="56"/>
      <c r="FM1582" s="56"/>
      <c r="FN1582" s="56"/>
      <c r="FO1582" s="56"/>
      <c r="FP1582" s="56"/>
      <c r="FQ1582" s="56"/>
      <c r="FR1582" s="56"/>
      <c r="FS1582" s="56"/>
      <c r="FT1582" s="56"/>
      <c r="FU1582" s="56"/>
      <c r="FV1582" s="56"/>
      <c r="FW1582" s="56"/>
      <c r="FX1582" s="56"/>
      <c r="FY1582" s="56"/>
      <c r="FZ1582" s="56"/>
      <c r="GA1582" s="56"/>
      <c r="GB1582" s="56"/>
      <c r="GC1582" s="56"/>
      <c r="GD1582" s="56"/>
      <c r="GE1582" s="56"/>
      <c r="GF1582" s="56"/>
    </row>
    <row r="1583" spans="1:48" s="18" customFormat="1" ht="15.75" customHeight="1">
      <c r="A1583" s="50"/>
      <c r="B1583" s="93" t="s">
        <v>669</v>
      </c>
      <c r="C1583" s="16"/>
      <c r="D1583" s="52"/>
      <c r="E1583" s="52"/>
      <c r="F1583" s="52"/>
      <c r="G1583" s="52"/>
      <c r="H1583" s="52"/>
      <c r="I1583" s="52"/>
      <c r="J1583" s="52"/>
      <c r="K1583" s="52"/>
      <c r="L1583" s="60">
        <v>2</v>
      </c>
      <c r="M1583" s="60" t="s">
        <v>556</v>
      </c>
      <c r="N1583" s="60" t="s">
        <v>556</v>
      </c>
      <c r="O1583" s="60" t="s">
        <v>556</v>
      </c>
      <c r="P1583" s="60" t="s">
        <v>556</v>
      </c>
      <c r="Q1583" s="23"/>
      <c r="R1583" s="23"/>
      <c r="S1583" s="17"/>
      <c r="T1583" s="47"/>
      <c r="U1583" s="47"/>
      <c r="V1583" s="47"/>
      <c r="W1583" s="47"/>
      <c r="X1583" s="47"/>
      <c r="Y1583" s="47"/>
      <c r="Z1583" s="47"/>
      <c r="AA1583" s="47"/>
      <c r="AB1583" s="47"/>
      <c r="AC1583" s="47"/>
      <c r="AD1583" s="47"/>
      <c r="AE1583" s="47"/>
      <c r="AF1583" s="47"/>
      <c r="AG1583" s="47"/>
      <c r="AH1583" s="47"/>
      <c r="AI1583" s="47"/>
      <c r="AJ1583" s="47"/>
      <c r="AK1583" s="47"/>
      <c r="AL1583" s="47"/>
      <c r="AM1583" s="47"/>
      <c r="AN1583" s="47"/>
      <c r="AO1583" s="47"/>
      <c r="AP1583" s="47"/>
      <c r="AQ1583" s="47"/>
      <c r="AR1583" s="47"/>
      <c r="AS1583" s="47"/>
      <c r="AT1583" s="47"/>
      <c r="AU1583" s="47"/>
      <c r="AV1583" s="47"/>
    </row>
    <row r="1584" spans="1:48" s="27" customFormat="1" ht="15.75" customHeight="1">
      <c r="A1584" s="12"/>
      <c r="B1584" s="97" t="s">
        <v>1316</v>
      </c>
      <c r="C1584" s="29" t="s">
        <v>1317</v>
      </c>
      <c r="D1584" s="51"/>
      <c r="E1584" s="51"/>
      <c r="F1584" s="51"/>
      <c r="G1584" s="51"/>
      <c r="H1584" s="51"/>
      <c r="I1584" s="51"/>
      <c r="J1584" s="51"/>
      <c r="K1584" s="51"/>
      <c r="L1584" s="40">
        <v>1</v>
      </c>
      <c r="M1584" s="40" t="s">
        <v>556</v>
      </c>
      <c r="N1584" s="40" t="s">
        <v>556</v>
      </c>
      <c r="O1584" s="40" t="s">
        <v>556</v>
      </c>
      <c r="P1584" s="40" t="s">
        <v>556</v>
      </c>
      <c r="Q1584" s="30"/>
      <c r="R1584" s="30"/>
      <c r="S1584" s="30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</row>
    <row r="1585" spans="1:48" s="27" customFormat="1" ht="15.75" customHeight="1">
      <c r="A1585" s="12"/>
      <c r="B1585" s="97" t="s">
        <v>1051</v>
      </c>
      <c r="C1585" s="29" t="s">
        <v>1052</v>
      </c>
      <c r="D1585" s="51"/>
      <c r="E1585" s="51"/>
      <c r="F1585" s="51"/>
      <c r="G1585" s="51"/>
      <c r="H1585" s="51"/>
      <c r="I1585" s="51"/>
      <c r="J1585" s="51"/>
      <c r="K1585" s="51"/>
      <c r="L1585" s="40">
        <v>1</v>
      </c>
      <c r="M1585" s="40" t="s">
        <v>556</v>
      </c>
      <c r="N1585" s="40" t="s">
        <v>556</v>
      </c>
      <c r="O1585" s="40" t="s">
        <v>556</v>
      </c>
      <c r="P1585" s="40" t="s">
        <v>556</v>
      </c>
      <c r="Q1585" s="33"/>
      <c r="R1585" s="28"/>
      <c r="S1585" s="2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</row>
    <row r="1586" spans="1:48" s="18" customFormat="1" ht="15.75" customHeight="1">
      <c r="A1586" s="50"/>
      <c r="B1586" s="93" t="s">
        <v>670</v>
      </c>
      <c r="C1586" s="16"/>
      <c r="D1586" s="52"/>
      <c r="E1586" s="51"/>
      <c r="F1586" s="52"/>
      <c r="G1586" s="52"/>
      <c r="H1586" s="52"/>
      <c r="I1586" s="52"/>
      <c r="J1586" s="52"/>
      <c r="K1586" s="52"/>
      <c r="L1586" s="60">
        <v>1</v>
      </c>
      <c r="M1586" s="60">
        <f>M1587</f>
        <v>1</v>
      </c>
      <c r="N1586" s="60" t="str">
        <f>N1587</f>
        <v> -</v>
      </c>
      <c r="O1586" s="60" t="str">
        <f>O1587</f>
        <v> -</v>
      </c>
      <c r="P1586" s="60" t="str">
        <f>P1587</f>
        <v> -</v>
      </c>
      <c r="Q1586" s="23"/>
      <c r="R1586" s="23"/>
      <c r="S1586" s="17"/>
      <c r="T1586" s="47"/>
      <c r="U1586" s="47"/>
      <c r="V1586" s="47"/>
      <c r="W1586" s="47"/>
      <c r="X1586" s="47"/>
      <c r="Y1586" s="47"/>
      <c r="Z1586" s="47"/>
      <c r="AA1586" s="47"/>
      <c r="AB1586" s="47"/>
      <c r="AC1586" s="47"/>
      <c r="AD1586" s="47"/>
      <c r="AE1586" s="47"/>
      <c r="AF1586" s="47"/>
      <c r="AG1586" s="47"/>
      <c r="AH1586" s="47"/>
      <c r="AI1586" s="47"/>
      <c r="AJ1586" s="47"/>
      <c r="AK1586" s="47"/>
      <c r="AL1586" s="47"/>
      <c r="AM1586" s="47"/>
      <c r="AN1586" s="47"/>
      <c r="AO1586" s="47"/>
      <c r="AP1586" s="47"/>
      <c r="AQ1586" s="47"/>
      <c r="AR1586" s="47"/>
      <c r="AS1586" s="47"/>
      <c r="AT1586" s="47"/>
      <c r="AU1586" s="47"/>
      <c r="AV1586" s="47"/>
    </row>
    <row r="1587" spans="1:48" s="27" customFormat="1" ht="15.75" customHeight="1">
      <c r="A1587" s="12"/>
      <c r="B1587" s="97" t="s">
        <v>1321</v>
      </c>
      <c r="C1587" s="15" t="s">
        <v>1323</v>
      </c>
      <c r="D1587" s="51"/>
      <c r="E1587" s="51"/>
      <c r="F1587" s="51"/>
      <c r="G1587" s="51"/>
      <c r="H1587" s="51"/>
      <c r="I1587" s="51"/>
      <c r="J1587" s="51"/>
      <c r="K1587" s="51"/>
      <c r="L1587" s="40" t="s">
        <v>556</v>
      </c>
      <c r="M1587" s="40">
        <v>1</v>
      </c>
      <c r="N1587" s="40" t="s">
        <v>556</v>
      </c>
      <c r="O1587" s="40" t="s">
        <v>556</v>
      </c>
      <c r="P1587" s="40" t="s">
        <v>556</v>
      </c>
      <c r="Q1587" s="30"/>
      <c r="R1587" s="30"/>
      <c r="S1587" s="30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</row>
    <row r="1588" spans="1:48" s="27" customFormat="1" ht="15.75" customHeight="1">
      <c r="A1588" s="12"/>
      <c r="B1588" s="97" t="s">
        <v>117</v>
      </c>
      <c r="C1588" s="15" t="s">
        <v>118</v>
      </c>
      <c r="D1588" s="51"/>
      <c r="E1588" s="51"/>
      <c r="F1588" s="51"/>
      <c r="G1588" s="51"/>
      <c r="H1588" s="51"/>
      <c r="I1588" s="51"/>
      <c r="J1588" s="51"/>
      <c r="K1588" s="51"/>
      <c r="L1588" s="40">
        <v>1</v>
      </c>
      <c r="M1588" s="40" t="s">
        <v>556</v>
      </c>
      <c r="N1588" s="40" t="s">
        <v>556</v>
      </c>
      <c r="O1588" s="40" t="s">
        <v>556</v>
      </c>
      <c r="P1588" s="40" t="s">
        <v>556</v>
      </c>
      <c r="Q1588" s="30"/>
      <c r="R1588" s="30"/>
      <c r="S1588" s="30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</row>
    <row r="1589" spans="1:48" s="18" customFormat="1" ht="15.75" customHeight="1">
      <c r="A1589" s="50"/>
      <c r="B1589" s="93" t="s">
        <v>37</v>
      </c>
      <c r="C1589" s="16"/>
      <c r="D1589" s="52"/>
      <c r="E1589" s="51"/>
      <c r="F1589" s="52"/>
      <c r="G1589" s="52"/>
      <c r="H1589" s="52"/>
      <c r="I1589" s="52"/>
      <c r="J1589" s="52"/>
      <c r="K1589" s="52"/>
      <c r="L1589" s="60" t="str">
        <f>L1590</f>
        <v> -</v>
      </c>
      <c r="M1589" s="60">
        <f>M1590</f>
        <v>1</v>
      </c>
      <c r="N1589" s="60" t="str">
        <f>N1590</f>
        <v> -</v>
      </c>
      <c r="O1589" s="60" t="str">
        <f>O1590</f>
        <v> -</v>
      </c>
      <c r="P1589" s="60" t="str">
        <f>P1590</f>
        <v> -</v>
      </c>
      <c r="Q1589" s="77"/>
      <c r="R1589" s="77"/>
      <c r="S1589" s="78"/>
      <c r="T1589" s="47"/>
      <c r="U1589" s="47"/>
      <c r="V1589" s="47"/>
      <c r="W1589" s="47"/>
      <c r="X1589" s="47"/>
      <c r="Y1589" s="47"/>
      <c r="Z1589" s="47"/>
      <c r="AA1589" s="47"/>
      <c r="AB1589" s="47"/>
      <c r="AC1589" s="47"/>
      <c r="AD1589" s="47"/>
      <c r="AE1589" s="47"/>
      <c r="AF1589" s="47"/>
      <c r="AG1589" s="47"/>
      <c r="AH1589" s="47"/>
      <c r="AI1589" s="47"/>
      <c r="AJ1589" s="47"/>
      <c r="AK1589" s="47"/>
      <c r="AL1589" s="47"/>
      <c r="AM1589" s="47"/>
      <c r="AN1589" s="47"/>
      <c r="AO1589" s="47"/>
      <c r="AP1589" s="47"/>
      <c r="AQ1589" s="47"/>
      <c r="AR1589" s="47"/>
      <c r="AS1589" s="47"/>
      <c r="AT1589" s="47"/>
      <c r="AU1589" s="47"/>
      <c r="AV1589" s="47"/>
    </row>
    <row r="1590" spans="1:48" s="27" customFormat="1" ht="15.75" customHeight="1">
      <c r="A1590" s="12"/>
      <c r="B1590" s="97" t="s">
        <v>887</v>
      </c>
      <c r="C1590" s="66" t="s">
        <v>888</v>
      </c>
      <c r="D1590" s="51"/>
      <c r="E1590" s="51"/>
      <c r="F1590" s="51"/>
      <c r="G1590" s="51"/>
      <c r="H1590" s="51"/>
      <c r="I1590" s="51"/>
      <c r="J1590" s="51"/>
      <c r="K1590" s="51"/>
      <c r="L1590" s="40" t="s">
        <v>556</v>
      </c>
      <c r="M1590" s="40">
        <v>1</v>
      </c>
      <c r="N1590" s="40" t="s">
        <v>556</v>
      </c>
      <c r="O1590" s="40" t="s">
        <v>556</v>
      </c>
      <c r="P1590" s="40" t="s">
        <v>556</v>
      </c>
      <c r="Q1590" s="30"/>
      <c r="R1590" s="30"/>
      <c r="S1590" s="30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</row>
    <row r="1591" spans="1:19" ht="15" customHeight="1">
      <c r="A1591" s="399" t="s">
        <v>653</v>
      </c>
      <c r="B1591" s="399"/>
      <c r="C1591" s="399"/>
      <c r="D1591" s="399"/>
      <c r="E1591" s="399"/>
      <c r="F1591" s="399"/>
      <c r="G1591" s="399"/>
      <c r="H1591" s="399"/>
      <c r="I1591" s="399"/>
      <c r="J1591" s="399"/>
      <c r="K1591" s="399"/>
      <c r="L1591" s="399"/>
      <c r="M1591" s="399"/>
      <c r="N1591" s="399"/>
      <c r="O1591" s="399"/>
      <c r="P1591" s="399"/>
      <c r="Q1591" s="20"/>
      <c r="R1591" s="20"/>
      <c r="S1591" s="7"/>
    </row>
    <row r="1592" spans="1:19" ht="13.5" customHeight="1">
      <c r="A1592" s="400" t="s">
        <v>909</v>
      </c>
      <c r="B1592" s="400"/>
      <c r="C1592" s="400"/>
      <c r="D1592" s="400"/>
      <c r="E1592" s="400"/>
      <c r="F1592" s="400"/>
      <c r="G1592" s="400"/>
      <c r="H1592" s="400"/>
      <c r="I1592" s="400"/>
      <c r="J1592" s="400"/>
      <c r="K1592" s="400"/>
      <c r="L1592" s="400"/>
      <c r="M1592" s="400"/>
      <c r="N1592" s="400"/>
      <c r="O1592" s="400"/>
      <c r="P1592" s="400"/>
      <c r="Q1592" s="21"/>
      <c r="R1592" s="21"/>
      <c r="S1592" s="8"/>
    </row>
    <row r="1593" spans="1:188" s="57" customFormat="1" ht="15.75" customHeight="1">
      <c r="A1593" s="13">
        <v>98</v>
      </c>
      <c r="B1593" s="92" t="s">
        <v>331</v>
      </c>
      <c r="C1593" s="45"/>
      <c r="D1593" s="44">
        <v>27</v>
      </c>
      <c r="E1593" s="44">
        <v>3</v>
      </c>
      <c r="F1593" s="44">
        <v>25</v>
      </c>
      <c r="G1593" s="44">
        <v>62</v>
      </c>
      <c r="H1593" s="44">
        <v>62</v>
      </c>
      <c r="I1593" s="44">
        <v>62</v>
      </c>
      <c r="J1593" s="44">
        <v>62</v>
      </c>
      <c r="K1593" s="44">
        <v>62</v>
      </c>
      <c r="L1593" s="44">
        <v>2</v>
      </c>
      <c r="M1593" s="44">
        <v>2</v>
      </c>
      <c r="N1593" s="44">
        <v>1</v>
      </c>
      <c r="O1593" s="44">
        <v>1</v>
      </c>
      <c r="P1593" s="44">
        <v>1</v>
      </c>
      <c r="Q1593" s="54" t="s">
        <v>649</v>
      </c>
      <c r="R1593" s="54">
        <v>14</v>
      </c>
      <c r="S1593" s="55" t="s">
        <v>420</v>
      </c>
      <c r="T1593" s="56"/>
      <c r="U1593" s="56"/>
      <c r="V1593" s="56"/>
      <c r="W1593" s="56"/>
      <c r="X1593" s="56"/>
      <c r="Y1593" s="56"/>
      <c r="Z1593" s="56"/>
      <c r="AA1593" s="56"/>
      <c r="AB1593" s="56"/>
      <c r="AC1593" s="56"/>
      <c r="AD1593" s="56"/>
      <c r="AE1593" s="56"/>
      <c r="AF1593" s="56"/>
      <c r="AG1593" s="56"/>
      <c r="AH1593" s="56"/>
      <c r="AI1593" s="56"/>
      <c r="AJ1593" s="56"/>
      <c r="AK1593" s="56"/>
      <c r="AL1593" s="56"/>
      <c r="AM1593" s="56"/>
      <c r="AN1593" s="56"/>
      <c r="AO1593" s="56"/>
      <c r="AP1593" s="56"/>
      <c r="AQ1593" s="56"/>
      <c r="AR1593" s="56"/>
      <c r="AS1593" s="56"/>
      <c r="AT1593" s="56"/>
      <c r="AU1593" s="56"/>
      <c r="AV1593" s="56"/>
      <c r="AW1593" s="56"/>
      <c r="AX1593" s="56"/>
      <c r="AY1593" s="56"/>
      <c r="AZ1593" s="56"/>
      <c r="BA1593" s="56"/>
      <c r="BB1593" s="56"/>
      <c r="BC1593" s="56"/>
      <c r="BD1593" s="56"/>
      <c r="BE1593" s="56"/>
      <c r="BF1593" s="56"/>
      <c r="BG1593" s="56"/>
      <c r="BH1593" s="56"/>
      <c r="BI1593" s="56"/>
      <c r="BJ1593" s="56"/>
      <c r="BK1593" s="56"/>
      <c r="BL1593" s="56"/>
      <c r="BM1593" s="56"/>
      <c r="BN1593" s="56"/>
      <c r="BO1593" s="56"/>
      <c r="BP1593" s="56"/>
      <c r="BQ1593" s="56"/>
      <c r="BR1593" s="56"/>
      <c r="BS1593" s="56"/>
      <c r="BT1593" s="56"/>
      <c r="BU1593" s="56"/>
      <c r="BV1593" s="56"/>
      <c r="BW1593" s="56"/>
      <c r="BX1593" s="56"/>
      <c r="BY1593" s="56"/>
      <c r="BZ1593" s="56"/>
      <c r="CA1593" s="56"/>
      <c r="CB1593" s="56"/>
      <c r="CC1593" s="56"/>
      <c r="CD1593" s="56"/>
      <c r="CE1593" s="56"/>
      <c r="CF1593" s="56"/>
      <c r="CG1593" s="56"/>
      <c r="CH1593" s="56"/>
      <c r="CI1593" s="56"/>
      <c r="CJ1593" s="56"/>
      <c r="CK1593" s="56"/>
      <c r="CL1593" s="56"/>
      <c r="CM1593" s="56"/>
      <c r="CN1593" s="56"/>
      <c r="CO1593" s="56"/>
      <c r="CP1593" s="56"/>
      <c r="CQ1593" s="56"/>
      <c r="CR1593" s="56"/>
      <c r="CS1593" s="56"/>
      <c r="CT1593" s="56"/>
      <c r="CU1593" s="56"/>
      <c r="CV1593" s="56"/>
      <c r="CW1593" s="56"/>
      <c r="CX1593" s="56"/>
      <c r="CY1593" s="56"/>
      <c r="CZ1593" s="56"/>
      <c r="DA1593" s="56"/>
      <c r="DB1593" s="56"/>
      <c r="DC1593" s="56"/>
      <c r="DD1593" s="56"/>
      <c r="DE1593" s="56"/>
      <c r="DF1593" s="56"/>
      <c r="DG1593" s="56"/>
      <c r="DH1593" s="56"/>
      <c r="DI1593" s="56"/>
      <c r="DJ1593" s="56"/>
      <c r="DK1593" s="56"/>
      <c r="DL1593" s="56"/>
      <c r="DM1593" s="56"/>
      <c r="DN1593" s="56"/>
      <c r="DO1593" s="56"/>
      <c r="DP1593" s="56"/>
      <c r="DQ1593" s="56"/>
      <c r="DR1593" s="56"/>
      <c r="DS1593" s="56"/>
      <c r="DT1593" s="56"/>
      <c r="DU1593" s="56"/>
      <c r="DV1593" s="56"/>
      <c r="DW1593" s="56"/>
      <c r="DX1593" s="56"/>
      <c r="DY1593" s="56"/>
      <c r="DZ1593" s="56"/>
      <c r="EA1593" s="56"/>
      <c r="EB1593" s="56"/>
      <c r="EC1593" s="56"/>
      <c r="ED1593" s="56"/>
      <c r="EE1593" s="56"/>
      <c r="EF1593" s="56"/>
      <c r="EG1593" s="56"/>
      <c r="EH1593" s="56"/>
      <c r="EI1593" s="56"/>
      <c r="EJ1593" s="56"/>
      <c r="EK1593" s="56"/>
      <c r="EL1593" s="56"/>
      <c r="EM1593" s="56"/>
      <c r="EN1593" s="56"/>
      <c r="EO1593" s="56"/>
      <c r="EP1593" s="56"/>
      <c r="EQ1593" s="56"/>
      <c r="ER1593" s="56"/>
      <c r="ES1593" s="56"/>
      <c r="ET1593" s="56"/>
      <c r="EU1593" s="56"/>
      <c r="EV1593" s="56"/>
      <c r="EW1593" s="56"/>
      <c r="EX1593" s="56"/>
      <c r="EY1593" s="56"/>
      <c r="EZ1593" s="56"/>
      <c r="FA1593" s="56"/>
      <c r="FB1593" s="56"/>
      <c r="FC1593" s="56"/>
      <c r="FD1593" s="56"/>
      <c r="FE1593" s="56"/>
      <c r="FF1593" s="56"/>
      <c r="FG1593" s="56"/>
      <c r="FH1593" s="56"/>
      <c r="FI1593" s="56"/>
      <c r="FJ1593" s="56"/>
      <c r="FK1593" s="56"/>
      <c r="FL1593" s="56"/>
      <c r="FM1593" s="56"/>
      <c r="FN1593" s="56"/>
      <c r="FO1593" s="56"/>
      <c r="FP1593" s="56"/>
      <c r="FQ1593" s="56"/>
      <c r="FR1593" s="56"/>
      <c r="FS1593" s="56"/>
      <c r="FT1593" s="56"/>
      <c r="FU1593" s="56"/>
      <c r="FV1593" s="56"/>
      <c r="FW1593" s="56"/>
      <c r="FX1593" s="56"/>
      <c r="FY1593" s="56"/>
      <c r="FZ1593" s="56"/>
      <c r="GA1593" s="56"/>
      <c r="GB1593" s="56"/>
      <c r="GC1593" s="56"/>
      <c r="GD1593" s="56"/>
      <c r="GE1593" s="56"/>
      <c r="GF1593" s="56"/>
    </row>
    <row r="1594" spans="1:48" s="18" customFormat="1" ht="15.75" customHeight="1">
      <c r="A1594" s="50"/>
      <c r="B1594" s="93" t="s">
        <v>669</v>
      </c>
      <c r="C1594" s="16"/>
      <c r="D1594" s="52"/>
      <c r="E1594" s="52"/>
      <c r="F1594" s="52"/>
      <c r="G1594" s="52"/>
      <c r="H1594" s="52"/>
      <c r="I1594" s="52"/>
      <c r="J1594" s="52"/>
      <c r="K1594" s="52"/>
      <c r="L1594" s="60">
        <f>L1595</f>
        <v>1</v>
      </c>
      <c r="M1594" s="60">
        <f>M1595</f>
        <v>1</v>
      </c>
      <c r="N1594" s="60">
        <f>N1595</f>
        <v>1</v>
      </c>
      <c r="O1594" s="60">
        <f>O1595</f>
        <v>1</v>
      </c>
      <c r="P1594" s="60">
        <f>P1595</f>
        <v>1</v>
      </c>
      <c r="Q1594" s="23"/>
      <c r="R1594" s="23"/>
      <c r="S1594" s="17"/>
      <c r="T1594" s="47"/>
      <c r="U1594" s="47"/>
      <c r="V1594" s="47"/>
      <c r="W1594" s="47"/>
      <c r="X1594" s="47"/>
      <c r="Y1594" s="47"/>
      <c r="Z1594" s="47"/>
      <c r="AA1594" s="47"/>
      <c r="AB1594" s="47"/>
      <c r="AC1594" s="47"/>
      <c r="AD1594" s="47"/>
      <c r="AE1594" s="47"/>
      <c r="AF1594" s="47"/>
      <c r="AG1594" s="47"/>
      <c r="AH1594" s="47"/>
      <c r="AI1594" s="47"/>
      <c r="AJ1594" s="47"/>
      <c r="AK1594" s="47"/>
      <c r="AL1594" s="47"/>
      <c r="AM1594" s="47"/>
      <c r="AN1594" s="47"/>
      <c r="AO1594" s="47"/>
      <c r="AP1594" s="47"/>
      <c r="AQ1594" s="47"/>
      <c r="AR1594" s="47"/>
      <c r="AS1594" s="47"/>
      <c r="AT1594" s="47"/>
      <c r="AU1594" s="47"/>
      <c r="AV1594" s="47"/>
    </row>
    <row r="1595" spans="1:48" s="27" customFormat="1" ht="15.75" customHeight="1">
      <c r="A1595" s="12"/>
      <c r="B1595" s="111" t="s">
        <v>748</v>
      </c>
      <c r="C1595" s="15" t="s">
        <v>749</v>
      </c>
      <c r="D1595" s="51"/>
      <c r="E1595" s="51"/>
      <c r="F1595" s="51"/>
      <c r="G1595" s="51"/>
      <c r="H1595" s="51"/>
      <c r="I1595" s="51"/>
      <c r="J1595" s="51"/>
      <c r="K1595" s="51"/>
      <c r="L1595" s="40">
        <v>1</v>
      </c>
      <c r="M1595" s="40">
        <v>1</v>
      </c>
      <c r="N1595" s="40">
        <v>1</v>
      </c>
      <c r="O1595" s="40">
        <v>1</v>
      </c>
      <c r="P1595" s="40">
        <v>1</v>
      </c>
      <c r="Q1595" s="30"/>
      <c r="R1595" s="30"/>
      <c r="S1595" s="30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</row>
    <row r="1596" spans="1:48" s="18" customFormat="1" ht="15.75" customHeight="1">
      <c r="A1596" s="50"/>
      <c r="B1596" s="93" t="s">
        <v>37</v>
      </c>
      <c r="C1596" s="16"/>
      <c r="D1596" s="52"/>
      <c r="E1596" s="51"/>
      <c r="F1596" s="52"/>
      <c r="G1596" s="52"/>
      <c r="H1596" s="52"/>
      <c r="I1596" s="52"/>
      <c r="J1596" s="52"/>
      <c r="K1596" s="52"/>
      <c r="L1596" s="60">
        <f>L1597</f>
        <v>1</v>
      </c>
      <c r="M1596" s="60">
        <f>M1597</f>
        <v>1</v>
      </c>
      <c r="N1596" s="60" t="str">
        <f>N1597</f>
        <v> -</v>
      </c>
      <c r="O1596" s="60" t="str">
        <f>O1597</f>
        <v> -</v>
      </c>
      <c r="P1596" s="60" t="str">
        <f>P1597</f>
        <v> -</v>
      </c>
      <c r="Q1596" s="23"/>
      <c r="R1596" s="23"/>
      <c r="S1596" s="17"/>
      <c r="T1596" s="47"/>
      <c r="U1596" s="47"/>
      <c r="V1596" s="47"/>
      <c r="W1596" s="47"/>
      <c r="X1596" s="47"/>
      <c r="Y1596" s="47"/>
      <c r="Z1596" s="47"/>
      <c r="AA1596" s="47"/>
      <c r="AB1596" s="47"/>
      <c r="AC1596" s="47"/>
      <c r="AD1596" s="47"/>
      <c r="AE1596" s="47"/>
      <c r="AF1596" s="47"/>
      <c r="AG1596" s="47"/>
      <c r="AH1596" s="47"/>
      <c r="AI1596" s="47"/>
      <c r="AJ1596" s="47"/>
      <c r="AK1596" s="47"/>
      <c r="AL1596" s="47"/>
      <c r="AM1596" s="47"/>
      <c r="AN1596" s="47"/>
      <c r="AO1596" s="47"/>
      <c r="AP1596" s="47"/>
      <c r="AQ1596" s="47"/>
      <c r="AR1596" s="47"/>
      <c r="AS1596" s="47"/>
      <c r="AT1596" s="47"/>
      <c r="AU1596" s="47"/>
      <c r="AV1596" s="47"/>
    </row>
    <row r="1597" spans="1:48" s="27" customFormat="1" ht="15.75" customHeight="1">
      <c r="A1597" s="12"/>
      <c r="B1597" s="97" t="s">
        <v>38</v>
      </c>
      <c r="C1597" s="66" t="s">
        <v>457</v>
      </c>
      <c r="D1597" s="51"/>
      <c r="E1597" s="51"/>
      <c r="F1597" s="51"/>
      <c r="G1597" s="51"/>
      <c r="H1597" s="51"/>
      <c r="I1597" s="51"/>
      <c r="J1597" s="51"/>
      <c r="K1597" s="51"/>
      <c r="L1597" s="40">
        <v>1</v>
      </c>
      <c r="M1597" s="40">
        <v>1</v>
      </c>
      <c r="N1597" s="40" t="s">
        <v>556</v>
      </c>
      <c r="O1597" s="40" t="s">
        <v>556</v>
      </c>
      <c r="P1597" s="40" t="s">
        <v>556</v>
      </c>
      <c r="Q1597" s="30"/>
      <c r="R1597" s="30"/>
      <c r="S1597" s="30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</row>
    <row r="1598" spans="1:19" ht="15" customHeight="1">
      <c r="A1598" s="399" t="s">
        <v>652</v>
      </c>
      <c r="B1598" s="399"/>
      <c r="C1598" s="399"/>
      <c r="D1598" s="399"/>
      <c r="E1598" s="399"/>
      <c r="F1598" s="399"/>
      <c r="G1598" s="399"/>
      <c r="H1598" s="399"/>
      <c r="I1598" s="399"/>
      <c r="J1598" s="399"/>
      <c r="K1598" s="399"/>
      <c r="L1598" s="399"/>
      <c r="M1598" s="399"/>
      <c r="N1598" s="399"/>
      <c r="O1598" s="399"/>
      <c r="P1598" s="399"/>
      <c r="Q1598" s="20"/>
      <c r="R1598" s="20"/>
      <c r="S1598" s="7"/>
    </row>
    <row r="1599" spans="1:19" ht="13.5" customHeight="1">
      <c r="A1599" s="400" t="s">
        <v>676</v>
      </c>
      <c r="B1599" s="400"/>
      <c r="C1599" s="400"/>
      <c r="D1599" s="400"/>
      <c r="E1599" s="400"/>
      <c r="F1599" s="400"/>
      <c r="G1599" s="400"/>
      <c r="H1599" s="400"/>
      <c r="I1599" s="400"/>
      <c r="J1599" s="400"/>
      <c r="K1599" s="400"/>
      <c r="L1599" s="400"/>
      <c r="M1599" s="400"/>
      <c r="N1599" s="400"/>
      <c r="O1599" s="400"/>
      <c r="P1599" s="400"/>
      <c r="Q1599" s="21"/>
      <c r="R1599" s="21"/>
      <c r="S1599" s="8"/>
    </row>
    <row r="1600" spans="1:188" s="57" customFormat="1" ht="15.75" customHeight="1">
      <c r="A1600" s="13">
        <v>99</v>
      </c>
      <c r="B1600" s="92" t="s">
        <v>244</v>
      </c>
      <c r="C1600" s="45"/>
      <c r="D1600" s="44">
        <v>130</v>
      </c>
      <c r="E1600" s="44">
        <v>20</v>
      </c>
      <c r="F1600" s="44"/>
      <c r="G1600" s="44">
        <v>132</v>
      </c>
      <c r="H1600" s="44">
        <v>132</v>
      </c>
      <c r="I1600" s="44">
        <v>132</v>
      </c>
      <c r="J1600" s="44">
        <v>132</v>
      </c>
      <c r="K1600" s="44">
        <v>132</v>
      </c>
      <c r="L1600" s="44">
        <f>SUM(L1601,L1606,L1609)</f>
        <v>5</v>
      </c>
      <c r="M1600" s="44">
        <f>SUM(M1601,M1606,M1609)</f>
        <v>5</v>
      </c>
      <c r="N1600" s="44">
        <f>SUM(N1601,N1606,N1609)</f>
        <v>4</v>
      </c>
      <c r="O1600" s="44">
        <f>SUM(O1601,O1606,O1609)</f>
        <v>5</v>
      </c>
      <c r="P1600" s="44">
        <f>SUM(P1601,P1606,P1609)</f>
        <v>5</v>
      </c>
      <c r="Q1600" s="54" t="s">
        <v>648</v>
      </c>
      <c r="R1600" s="54">
        <v>15</v>
      </c>
      <c r="S1600" s="55" t="s">
        <v>1272</v>
      </c>
      <c r="T1600" s="56"/>
      <c r="U1600" s="56"/>
      <c r="V1600" s="56"/>
      <c r="W1600" s="56"/>
      <c r="X1600" s="56"/>
      <c r="Y1600" s="56"/>
      <c r="Z1600" s="56"/>
      <c r="AA1600" s="56"/>
      <c r="AB1600" s="56"/>
      <c r="AC1600" s="56"/>
      <c r="AD1600" s="56"/>
      <c r="AE1600" s="56"/>
      <c r="AF1600" s="56"/>
      <c r="AG1600" s="56"/>
      <c r="AH1600" s="56"/>
      <c r="AI1600" s="56"/>
      <c r="AJ1600" s="56"/>
      <c r="AK1600" s="56"/>
      <c r="AL1600" s="56"/>
      <c r="AM1600" s="56"/>
      <c r="AN1600" s="56"/>
      <c r="AO1600" s="56"/>
      <c r="AP1600" s="56"/>
      <c r="AQ1600" s="56"/>
      <c r="AR1600" s="56"/>
      <c r="AS1600" s="56"/>
      <c r="AT1600" s="56"/>
      <c r="AU1600" s="56"/>
      <c r="AV1600" s="56"/>
      <c r="AW1600" s="56"/>
      <c r="AX1600" s="56"/>
      <c r="AY1600" s="56"/>
      <c r="AZ1600" s="56"/>
      <c r="BA1600" s="56"/>
      <c r="BB1600" s="56"/>
      <c r="BC1600" s="56"/>
      <c r="BD1600" s="56"/>
      <c r="BE1600" s="56"/>
      <c r="BF1600" s="56"/>
      <c r="BG1600" s="56"/>
      <c r="BH1600" s="56"/>
      <c r="BI1600" s="56"/>
      <c r="BJ1600" s="56"/>
      <c r="BK1600" s="56"/>
      <c r="BL1600" s="56"/>
      <c r="BM1600" s="56"/>
      <c r="BN1600" s="56"/>
      <c r="BO1600" s="56"/>
      <c r="BP1600" s="56"/>
      <c r="BQ1600" s="56"/>
      <c r="BR1600" s="56"/>
      <c r="BS1600" s="56"/>
      <c r="BT1600" s="56"/>
      <c r="BU1600" s="56"/>
      <c r="BV1600" s="56"/>
      <c r="BW1600" s="56"/>
      <c r="BX1600" s="56"/>
      <c r="BY1600" s="56"/>
      <c r="BZ1600" s="56"/>
      <c r="CA1600" s="56"/>
      <c r="CB1600" s="56"/>
      <c r="CC1600" s="56"/>
      <c r="CD1600" s="56"/>
      <c r="CE1600" s="56"/>
      <c r="CF1600" s="56"/>
      <c r="CG1600" s="56"/>
      <c r="CH1600" s="56"/>
      <c r="CI1600" s="56"/>
      <c r="CJ1600" s="56"/>
      <c r="CK1600" s="56"/>
      <c r="CL1600" s="56"/>
      <c r="CM1600" s="56"/>
      <c r="CN1600" s="56"/>
      <c r="CO1600" s="56"/>
      <c r="CP1600" s="56"/>
      <c r="CQ1600" s="56"/>
      <c r="CR1600" s="56"/>
      <c r="CS1600" s="56"/>
      <c r="CT1600" s="56"/>
      <c r="CU1600" s="56"/>
      <c r="CV1600" s="56"/>
      <c r="CW1600" s="56"/>
      <c r="CX1600" s="56"/>
      <c r="CY1600" s="56"/>
      <c r="CZ1600" s="56"/>
      <c r="DA1600" s="56"/>
      <c r="DB1600" s="56"/>
      <c r="DC1600" s="56"/>
      <c r="DD1600" s="56"/>
      <c r="DE1600" s="56"/>
      <c r="DF1600" s="56"/>
      <c r="DG1600" s="56"/>
      <c r="DH1600" s="56"/>
      <c r="DI1600" s="56"/>
      <c r="DJ1600" s="56"/>
      <c r="DK1600" s="56"/>
      <c r="DL1600" s="56"/>
      <c r="DM1600" s="56"/>
      <c r="DN1600" s="56"/>
      <c r="DO1600" s="56"/>
      <c r="DP1600" s="56"/>
      <c r="DQ1600" s="56"/>
      <c r="DR1600" s="56"/>
      <c r="DS1600" s="56"/>
      <c r="DT1600" s="56"/>
      <c r="DU1600" s="56"/>
      <c r="DV1600" s="56"/>
      <c r="DW1600" s="56"/>
      <c r="DX1600" s="56"/>
      <c r="DY1600" s="56"/>
      <c r="DZ1600" s="56"/>
      <c r="EA1600" s="56"/>
      <c r="EB1600" s="56"/>
      <c r="EC1600" s="56"/>
      <c r="ED1600" s="56"/>
      <c r="EE1600" s="56"/>
      <c r="EF1600" s="56"/>
      <c r="EG1600" s="56"/>
      <c r="EH1600" s="56"/>
      <c r="EI1600" s="56"/>
      <c r="EJ1600" s="56"/>
      <c r="EK1600" s="56"/>
      <c r="EL1600" s="56"/>
      <c r="EM1600" s="56"/>
      <c r="EN1600" s="56"/>
      <c r="EO1600" s="56"/>
      <c r="EP1600" s="56"/>
      <c r="EQ1600" s="56"/>
      <c r="ER1600" s="56"/>
      <c r="ES1600" s="56"/>
      <c r="ET1600" s="56"/>
      <c r="EU1600" s="56"/>
      <c r="EV1600" s="56"/>
      <c r="EW1600" s="56"/>
      <c r="EX1600" s="56"/>
      <c r="EY1600" s="56"/>
      <c r="EZ1600" s="56"/>
      <c r="FA1600" s="56"/>
      <c r="FB1600" s="56"/>
      <c r="FC1600" s="56"/>
      <c r="FD1600" s="56"/>
      <c r="FE1600" s="56"/>
      <c r="FF1600" s="56"/>
      <c r="FG1600" s="56"/>
      <c r="FH1600" s="56"/>
      <c r="FI1600" s="56"/>
      <c r="FJ1600" s="56"/>
      <c r="FK1600" s="56"/>
      <c r="FL1600" s="56"/>
      <c r="FM1600" s="56"/>
      <c r="FN1600" s="56"/>
      <c r="FO1600" s="56"/>
      <c r="FP1600" s="56"/>
      <c r="FQ1600" s="56"/>
      <c r="FR1600" s="56"/>
      <c r="FS1600" s="56"/>
      <c r="FT1600" s="56"/>
      <c r="FU1600" s="56"/>
      <c r="FV1600" s="56"/>
      <c r="FW1600" s="56"/>
      <c r="FX1600" s="56"/>
      <c r="FY1600" s="56"/>
      <c r="FZ1600" s="56"/>
      <c r="GA1600" s="56"/>
      <c r="GB1600" s="56"/>
      <c r="GC1600" s="56"/>
      <c r="GD1600" s="56"/>
      <c r="GE1600" s="56"/>
      <c r="GF1600" s="56"/>
    </row>
    <row r="1601" spans="1:48" s="18" customFormat="1" ht="15.75" customHeight="1">
      <c r="A1601" s="50"/>
      <c r="B1601" s="93" t="s">
        <v>669</v>
      </c>
      <c r="C1601" s="16"/>
      <c r="D1601" s="52"/>
      <c r="E1601" s="52"/>
      <c r="F1601" s="52"/>
      <c r="G1601" s="52"/>
      <c r="H1601" s="52"/>
      <c r="I1601" s="52"/>
      <c r="J1601" s="52"/>
      <c r="K1601" s="52"/>
      <c r="L1601" s="60">
        <f>SUM(L1602:L1605)</f>
        <v>2</v>
      </c>
      <c r="M1601" s="60">
        <f>SUM(M1602:M1605)</f>
        <v>2</v>
      </c>
      <c r="N1601" s="60">
        <f>SUM(N1602:N1605)</f>
        <v>3</v>
      </c>
      <c r="O1601" s="60">
        <f>SUM(O1602:O1605)</f>
        <v>4</v>
      </c>
      <c r="P1601" s="60">
        <f>SUM(P1602:P1605)</f>
        <v>3</v>
      </c>
      <c r="Q1601" s="23"/>
      <c r="R1601" s="23"/>
      <c r="S1601" s="17"/>
      <c r="T1601" s="47"/>
      <c r="U1601" s="47"/>
      <c r="V1601" s="47"/>
      <c r="W1601" s="47"/>
      <c r="X1601" s="47"/>
      <c r="Y1601" s="47"/>
      <c r="Z1601" s="47"/>
      <c r="AA1601" s="47"/>
      <c r="AB1601" s="47"/>
      <c r="AC1601" s="47"/>
      <c r="AD1601" s="47"/>
      <c r="AE1601" s="47"/>
      <c r="AF1601" s="47"/>
      <c r="AG1601" s="47"/>
      <c r="AH1601" s="47"/>
      <c r="AI1601" s="47"/>
      <c r="AJ1601" s="47"/>
      <c r="AK1601" s="47"/>
      <c r="AL1601" s="47"/>
      <c r="AM1601" s="47"/>
      <c r="AN1601" s="47"/>
      <c r="AO1601" s="47"/>
      <c r="AP1601" s="47"/>
      <c r="AQ1601" s="47"/>
      <c r="AR1601" s="47"/>
      <c r="AS1601" s="47"/>
      <c r="AT1601" s="47"/>
      <c r="AU1601" s="47"/>
      <c r="AV1601" s="47"/>
    </row>
    <row r="1602" spans="1:48" s="27" customFormat="1" ht="15.75" customHeight="1">
      <c r="A1602" s="12"/>
      <c r="B1602" s="97" t="s">
        <v>54</v>
      </c>
      <c r="C1602" s="29" t="s">
        <v>55</v>
      </c>
      <c r="D1602" s="51"/>
      <c r="E1602" s="51"/>
      <c r="F1602" s="51"/>
      <c r="G1602" s="51">
        <v>15</v>
      </c>
      <c r="H1602" s="51">
        <v>15</v>
      </c>
      <c r="I1602" s="51">
        <v>15</v>
      </c>
      <c r="J1602" s="51">
        <v>15</v>
      </c>
      <c r="K1602" s="51">
        <v>15</v>
      </c>
      <c r="L1602" s="40">
        <v>2</v>
      </c>
      <c r="M1602" s="40">
        <v>1</v>
      </c>
      <c r="N1602" s="40">
        <v>2</v>
      </c>
      <c r="O1602" s="40">
        <v>3</v>
      </c>
      <c r="P1602" s="40">
        <v>2</v>
      </c>
      <c r="Q1602" s="33"/>
      <c r="R1602" s="28"/>
      <c r="S1602" s="2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</row>
    <row r="1603" spans="1:48" s="27" customFormat="1" ht="15.75" customHeight="1">
      <c r="A1603" s="12"/>
      <c r="B1603" s="97" t="s">
        <v>599</v>
      </c>
      <c r="C1603" s="15" t="s">
        <v>600</v>
      </c>
      <c r="D1603" s="51"/>
      <c r="E1603" s="40"/>
      <c r="F1603" s="40"/>
      <c r="G1603" s="40">
        <v>2</v>
      </c>
      <c r="H1603" s="40">
        <v>2</v>
      </c>
      <c r="I1603" s="40">
        <v>2</v>
      </c>
      <c r="J1603" s="40">
        <v>2</v>
      </c>
      <c r="K1603" s="40">
        <v>2</v>
      </c>
      <c r="L1603" s="40" t="s">
        <v>556</v>
      </c>
      <c r="M1603" s="40" t="s">
        <v>556</v>
      </c>
      <c r="N1603" s="40" t="s">
        <v>556</v>
      </c>
      <c r="O1603" s="40">
        <v>1</v>
      </c>
      <c r="P1603" s="40">
        <v>1</v>
      </c>
      <c r="Q1603" s="30"/>
      <c r="R1603" s="30"/>
      <c r="S1603" s="30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</row>
    <row r="1604" spans="1:48" s="27" customFormat="1" ht="15.75" customHeight="1">
      <c r="A1604" s="12"/>
      <c r="B1604" s="97" t="s">
        <v>629</v>
      </c>
      <c r="C1604" s="15" t="s">
        <v>787</v>
      </c>
      <c r="D1604" s="51"/>
      <c r="E1604" s="40"/>
      <c r="F1604" s="40"/>
      <c r="G1604" s="40">
        <v>6</v>
      </c>
      <c r="H1604" s="40">
        <v>6</v>
      </c>
      <c r="I1604" s="40">
        <v>6</v>
      </c>
      <c r="J1604" s="40">
        <v>6</v>
      </c>
      <c r="K1604" s="40">
        <v>6</v>
      </c>
      <c r="L1604" s="40" t="s">
        <v>556</v>
      </c>
      <c r="M1604" s="40" t="s">
        <v>556</v>
      </c>
      <c r="N1604" s="40">
        <v>1</v>
      </c>
      <c r="O1604" s="40" t="s">
        <v>556</v>
      </c>
      <c r="P1604" s="40" t="s">
        <v>556</v>
      </c>
      <c r="Q1604" s="30"/>
      <c r="R1604" s="30"/>
      <c r="S1604" s="30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</row>
    <row r="1605" spans="1:48" s="27" customFormat="1" ht="15.75" customHeight="1">
      <c r="A1605" s="12"/>
      <c r="B1605" s="97" t="s">
        <v>1320</v>
      </c>
      <c r="C1605" s="29" t="s">
        <v>1322</v>
      </c>
      <c r="D1605" s="51"/>
      <c r="E1605" s="51"/>
      <c r="F1605" s="51"/>
      <c r="G1605" s="51">
        <v>1</v>
      </c>
      <c r="H1605" s="51">
        <v>1</v>
      </c>
      <c r="I1605" s="51">
        <v>1</v>
      </c>
      <c r="J1605" s="51">
        <v>1</v>
      </c>
      <c r="K1605" s="51">
        <v>1</v>
      </c>
      <c r="L1605" s="40" t="s">
        <v>556</v>
      </c>
      <c r="M1605" s="40">
        <v>1</v>
      </c>
      <c r="N1605" s="40" t="s">
        <v>556</v>
      </c>
      <c r="O1605" s="40" t="s">
        <v>556</v>
      </c>
      <c r="P1605" s="40" t="s">
        <v>556</v>
      </c>
      <c r="Q1605" s="33"/>
      <c r="R1605" s="28"/>
      <c r="S1605" s="2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</row>
    <row r="1606" spans="1:48" s="18" customFormat="1" ht="15.75" customHeight="1">
      <c r="A1606" s="50"/>
      <c r="B1606" s="93" t="s">
        <v>670</v>
      </c>
      <c r="C1606" s="16"/>
      <c r="D1606" s="52"/>
      <c r="E1606" s="51"/>
      <c r="F1606" s="52"/>
      <c r="G1606" s="52"/>
      <c r="H1606" s="52"/>
      <c r="I1606" s="52"/>
      <c r="J1606" s="52"/>
      <c r="K1606" s="52"/>
      <c r="L1606" s="60">
        <f>L1607</f>
        <v>1</v>
      </c>
      <c r="M1606" s="60">
        <v>1</v>
      </c>
      <c r="N1606" s="60" t="str">
        <f>N1607</f>
        <v> -</v>
      </c>
      <c r="O1606" s="60" t="str">
        <f>O1607</f>
        <v> -</v>
      </c>
      <c r="P1606" s="60" t="str">
        <f>P1607</f>
        <v> -</v>
      </c>
      <c r="Q1606" s="23"/>
      <c r="R1606" s="23"/>
      <c r="S1606" s="17"/>
      <c r="T1606" s="47"/>
      <c r="U1606" s="47"/>
      <c r="V1606" s="47"/>
      <c r="W1606" s="47"/>
      <c r="X1606" s="47"/>
      <c r="Y1606" s="47"/>
      <c r="Z1606" s="47"/>
      <c r="AA1606" s="47"/>
      <c r="AB1606" s="47"/>
      <c r="AC1606" s="47"/>
      <c r="AD1606" s="47"/>
      <c r="AE1606" s="47"/>
      <c r="AF1606" s="47"/>
      <c r="AG1606" s="47"/>
      <c r="AH1606" s="47"/>
      <c r="AI1606" s="47"/>
      <c r="AJ1606" s="47"/>
      <c r="AK1606" s="47"/>
      <c r="AL1606" s="47"/>
      <c r="AM1606" s="47"/>
      <c r="AN1606" s="47"/>
      <c r="AO1606" s="47"/>
      <c r="AP1606" s="47"/>
      <c r="AQ1606" s="47"/>
      <c r="AR1606" s="47"/>
      <c r="AS1606" s="47"/>
      <c r="AT1606" s="47"/>
      <c r="AU1606" s="47"/>
      <c r="AV1606" s="47"/>
    </row>
    <row r="1607" spans="1:48" s="27" customFormat="1" ht="15.75" customHeight="1">
      <c r="A1607" s="12"/>
      <c r="B1607" s="97" t="s">
        <v>646</v>
      </c>
      <c r="C1607" s="15" t="s">
        <v>597</v>
      </c>
      <c r="D1607" s="51"/>
      <c r="E1607" s="51"/>
      <c r="F1607" s="51">
        <v>1</v>
      </c>
      <c r="G1607" s="51">
        <v>1</v>
      </c>
      <c r="H1607" s="51">
        <v>1</v>
      </c>
      <c r="I1607" s="51">
        <v>1</v>
      </c>
      <c r="J1607" s="51">
        <v>1</v>
      </c>
      <c r="K1607" s="51">
        <v>1</v>
      </c>
      <c r="L1607" s="40">
        <v>1</v>
      </c>
      <c r="M1607" s="40" t="s">
        <v>556</v>
      </c>
      <c r="N1607" s="40" t="s">
        <v>556</v>
      </c>
      <c r="O1607" s="40" t="s">
        <v>556</v>
      </c>
      <c r="P1607" s="40" t="s">
        <v>556</v>
      </c>
      <c r="Q1607" s="33"/>
      <c r="R1607" s="28"/>
      <c r="S1607" s="2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</row>
    <row r="1608" spans="1:48" s="27" customFormat="1" ht="15.75" customHeight="1">
      <c r="A1608" s="12"/>
      <c r="B1608" s="97" t="s">
        <v>561</v>
      </c>
      <c r="C1608" s="66" t="s">
        <v>804</v>
      </c>
      <c r="D1608" s="51"/>
      <c r="E1608" s="51"/>
      <c r="F1608" s="51"/>
      <c r="G1608" s="51">
        <v>4</v>
      </c>
      <c r="H1608" s="51">
        <v>4</v>
      </c>
      <c r="I1608" s="51">
        <v>4</v>
      </c>
      <c r="J1608" s="51">
        <v>4</v>
      </c>
      <c r="K1608" s="51">
        <v>4</v>
      </c>
      <c r="L1608" s="40" t="s">
        <v>556</v>
      </c>
      <c r="M1608" s="40">
        <v>1</v>
      </c>
      <c r="N1608" s="40" t="s">
        <v>556</v>
      </c>
      <c r="O1608" s="40" t="s">
        <v>556</v>
      </c>
      <c r="P1608" s="40" t="s">
        <v>556</v>
      </c>
      <c r="Q1608" s="33"/>
      <c r="R1608" s="33"/>
      <c r="S1608" s="33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</row>
    <row r="1609" spans="1:48" s="18" customFormat="1" ht="15.75" customHeight="1">
      <c r="A1609" s="50"/>
      <c r="B1609" s="93" t="s">
        <v>37</v>
      </c>
      <c r="C1609" s="16"/>
      <c r="D1609" s="52"/>
      <c r="E1609" s="51"/>
      <c r="F1609" s="52"/>
      <c r="G1609" s="52"/>
      <c r="H1609" s="52"/>
      <c r="I1609" s="52"/>
      <c r="J1609" s="52"/>
      <c r="K1609" s="52"/>
      <c r="L1609" s="60">
        <f>SUM(L1610:L1612)</f>
        <v>2</v>
      </c>
      <c r="M1609" s="60">
        <f>SUM(M1610:M1612)</f>
        <v>2</v>
      </c>
      <c r="N1609" s="60">
        <f>SUM(N1610:N1612)</f>
        <v>1</v>
      </c>
      <c r="O1609" s="60">
        <f>SUM(O1610:O1612)</f>
        <v>1</v>
      </c>
      <c r="P1609" s="60">
        <f>SUM(P1610:P1612)</f>
        <v>2</v>
      </c>
      <c r="Q1609" s="23"/>
      <c r="R1609" s="23"/>
      <c r="S1609" s="17"/>
      <c r="T1609" s="47"/>
      <c r="U1609" s="47"/>
      <c r="V1609" s="47"/>
      <c r="W1609" s="47"/>
      <c r="X1609" s="47"/>
      <c r="Y1609" s="47"/>
      <c r="Z1609" s="47"/>
      <c r="AA1609" s="47"/>
      <c r="AB1609" s="47"/>
      <c r="AC1609" s="47"/>
      <c r="AD1609" s="47"/>
      <c r="AE1609" s="47"/>
      <c r="AF1609" s="47"/>
      <c r="AG1609" s="47"/>
      <c r="AH1609" s="47"/>
      <c r="AI1609" s="47"/>
      <c r="AJ1609" s="47"/>
      <c r="AK1609" s="47"/>
      <c r="AL1609" s="47"/>
      <c r="AM1609" s="47"/>
      <c r="AN1609" s="47"/>
      <c r="AO1609" s="47"/>
      <c r="AP1609" s="47"/>
      <c r="AQ1609" s="47"/>
      <c r="AR1609" s="47"/>
      <c r="AS1609" s="47"/>
      <c r="AT1609" s="47"/>
      <c r="AU1609" s="47"/>
      <c r="AV1609" s="47"/>
    </row>
    <row r="1610" spans="1:48" s="27" customFormat="1" ht="15.75" customHeight="1">
      <c r="A1610" s="12"/>
      <c r="B1610" s="97" t="s">
        <v>859</v>
      </c>
      <c r="C1610" s="29" t="s">
        <v>647</v>
      </c>
      <c r="D1610" s="51"/>
      <c r="E1610" s="51"/>
      <c r="F1610" s="51"/>
      <c r="G1610" s="51">
        <v>1</v>
      </c>
      <c r="H1610" s="51">
        <v>1</v>
      </c>
      <c r="I1610" s="51">
        <v>1</v>
      </c>
      <c r="J1610" s="51">
        <v>1</v>
      </c>
      <c r="K1610" s="51">
        <v>1</v>
      </c>
      <c r="L1610" s="40">
        <v>1</v>
      </c>
      <c r="M1610" s="40">
        <v>1</v>
      </c>
      <c r="N1610" s="40">
        <v>1</v>
      </c>
      <c r="O1610" s="40">
        <v>1</v>
      </c>
      <c r="P1610" s="40">
        <v>2</v>
      </c>
      <c r="Q1610" s="30"/>
      <c r="R1610" s="30"/>
      <c r="S1610" s="30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</row>
    <row r="1611" spans="1:48" s="27" customFormat="1" ht="15.75" customHeight="1">
      <c r="A1611" s="12"/>
      <c r="B1611" s="97" t="s">
        <v>862</v>
      </c>
      <c r="C1611" s="29" t="s">
        <v>863</v>
      </c>
      <c r="D1611" s="51"/>
      <c r="E1611" s="51"/>
      <c r="F1611" s="51"/>
      <c r="G1611" s="51">
        <v>1</v>
      </c>
      <c r="H1611" s="51">
        <v>1</v>
      </c>
      <c r="I1611" s="51">
        <v>1</v>
      </c>
      <c r="J1611" s="51">
        <v>1</v>
      </c>
      <c r="K1611" s="51">
        <v>1</v>
      </c>
      <c r="L1611" s="40">
        <v>1</v>
      </c>
      <c r="M1611" s="40" t="s">
        <v>556</v>
      </c>
      <c r="N1611" s="40" t="s">
        <v>556</v>
      </c>
      <c r="O1611" s="40" t="s">
        <v>556</v>
      </c>
      <c r="P1611" s="40" t="s">
        <v>556</v>
      </c>
      <c r="Q1611" s="30"/>
      <c r="R1611" s="30"/>
      <c r="S1611" s="30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</row>
    <row r="1612" spans="1:48" s="27" customFormat="1" ht="15.75" customHeight="1">
      <c r="A1612" s="12"/>
      <c r="B1612" s="97" t="s">
        <v>808</v>
      </c>
      <c r="C1612" s="15" t="s">
        <v>809</v>
      </c>
      <c r="D1612" s="51"/>
      <c r="E1612" s="51"/>
      <c r="F1612" s="51"/>
      <c r="G1612" s="51">
        <v>1</v>
      </c>
      <c r="H1612" s="51">
        <v>1</v>
      </c>
      <c r="I1612" s="51">
        <v>1</v>
      </c>
      <c r="J1612" s="51">
        <v>1</v>
      </c>
      <c r="K1612" s="51">
        <v>1</v>
      </c>
      <c r="L1612" s="40" t="s">
        <v>556</v>
      </c>
      <c r="M1612" s="40">
        <v>1</v>
      </c>
      <c r="N1612" s="40" t="s">
        <v>556</v>
      </c>
      <c r="O1612" s="40" t="s">
        <v>556</v>
      </c>
      <c r="P1612" s="40" t="s">
        <v>556</v>
      </c>
      <c r="Q1612" s="30"/>
      <c r="R1612" s="30"/>
      <c r="S1612" s="30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</row>
    <row r="1613" spans="1:19" ht="13.5" customHeight="1">
      <c r="A1613" s="400" t="s">
        <v>909</v>
      </c>
      <c r="B1613" s="400"/>
      <c r="C1613" s="400"/>
      <c r="D1613" s="400"/>
      <c r="E1613" s="400"/>
      <c r="F1613" s="400"/>
      <c r="G1613" s="400"/>
      <c r="H1613" s="400"/>
      <c r="I1613" s="400"/>
      <c r="J1613" s="400"/>
      <c r="K1613" s="400"/>
      <c r="L1613" s="400"/>
      <c r="M1613" s="400"/>
      <c r="N1613" s="400"/>
      <c r="O1613" s="400"/>
      <c r="P1613" s="400"/>
      <c r="Q1613" s="21"/>
      <c r="R1613" s="21"/>
      <c r="S1613" s="8"/>
    </row>
    <row r="1614" spans="1:188" s="57" customFormat="1" ht="16.5" customHeight="1">
      <c r="A1614" s="13">
        <v>100</v>
      </c>
      <c r="B1614" s="92" t="s">
        <v>477</v>
      </c>
      <c r="C1614" s="45"/>
      <c r="D1614" s="44">
        <v>21</v>
      </c>
      <c r="E1614" s="44">
        <v>4</v>
      </c>
      <c r="F1614" s="44">
        <v>96</v>
      </c>
      <c r="G1614" s="44">
        <v>21</v>
      </c>
      <c r="H1614" s="44">
        <v>21</v>
      </c>
      <c r="I1614" s="44">
        <v>21</v>
      </c>
      <c r="J1614" s="44">
        <v>21</v>
      </c>
      <c r="K1614" s="44">
        <v>21</v>
      </c>
      <c r="L1614" s="44" t="s">
        <v>556</v>
      </c>
      <c r="M1614" s="44">
        <f>SUM(M1615,M1617)</f>
        <v>2</v>
      </c>
      <c r="N1614" s="44">
        <v>2</v>
      </c>
      <c r="O1614" s="44" t="s">
        <v>556</v>
      </c>
      <c r="P1614" s="44" t="str">
        <f>P1615</f>
        <v> -</v>
      </c>
      <c r="Q1614" s="54" t="s">
        <v>648</v>
      </c>
      <c r="R1614" s="54">
        <v>15</v>
      </c>
      <c r="S1614" s="55" t="s">
        <v>1272</v>
      </c>
      <c r="T1614" s="56"/>
      <c r="U1614" s="56"/>
      <c r="V1614" s="56"/>
      <c r="W1614" s="56"/>
      <c r="X1614" s="56"/>
      <c r="Y1614" s="56"/>
      <c r="Z1614" s="56"/>
      <c r="AA1614" s="56"/>
      <c r="AB1614" s="56"/>
      <c r="AC1614" s="56"/>
      <c r="AD1614" s="56"/>
      <c r="AE1614" s="56"/>
      <c r="AF1614" s="56"/>
      <c r="AG1614" s="56"/>
      <c r="AH1614" s="56"/>
      <c r="AI1614" s="56"/>
      <c r="AJ1614" s="56"/>
      <c r="AK1614" s="56"/>
      <c r="AL1614" s="56"/>
      <c r="AM1614" s="56"/>
      <c r="AN1614" s="56"/>
      <c r="AO1614" s="56"/>
      <c r="AP1614" s="56"/>
      <c r="AQ1614" s="56"/>
      <c r="AR1614" s="56"/>
      <c r="AS1614" s="56"/>
      <c r="AT1614" s="56"/>
      <c r="AU1614" s="56"/>
      <c r="AV1614" s="56"/>
      <c r="AW1614" s="56"/>
      <c r="AX1614" s="56"/>
      <c r="AY1614" s="56"/>
      <c r="AZ1614" s="56"/>
      <c r="BA1614" s="56"/>
      <c r="BB1614" s="56"/>
      <c r="BC1614" s="56"/>
      <c r="BD1614" s="56"/>
      <c r="BE1614" s="56"/>
      <c r="BF1614" s="56"/>
      <c r="BG1614" s="56"/>
      <c r="BH1614" s="56"/>
      <c r="BI1614" s="56"/>
      <c r="BJ1614" s="56"/>
      <c r="BK1614" s="56"/>
      <c r="BL1614" s="56"/>
      <c r="BM1614" s="56"/>
      <c r="BN1614" s="56"/>
      <c r="BO1614" s="56"/>
      <c r="BP1614" s="56"/>
      <c r="BQ1614" s="56"/>
      <c r="BR1614" s="56"/>
      <c r="BS1614" s="56"/>
      <c r="BT1614" s="56"/>
      <c r="BU1614" s="56"/>
      <c r="BV1614" s="56"/>
      <c r="BW1614" s="56"/>
      <c r="BX1614" s="56"/>
      <c r="BY1614" s="56"/>
      <c r="BZ1614" s="56"/>
      <c r="CA1614" s="56"/>
      <c r="CB1614" s="56"/>
      <c r="CC1614" s="56"/>
      <c r="CD1614" s="56"/>
      <c r="CE1614" s="56"/>
      <c r="CF1614" s="56"/>
      <c r="CG1614" s="56"/>
      <c r="CH1614" s="56"/>
      <c r="CI1614" s="56"/>
      <c r="CJ1614" s="56"/>
      <c r="CK1614" s="56"/>
      <c r="CL1614" s="56"/>
      <c r="CM1614" s="56"/>
      <c r="CN1614" s="56"/>
      <c r="CO1614" s="56"/>
      <c r="CP1614" s="56"/>
      <c r="CQ1614" s="56"/>
      <c r="CR1614" s="56"/>
      <c r="CS1614" s="56"/>
      <c r="CT1614" s="56"/>
      <c r="CU1614" s="56"/>
      <c r="CV1614" s="56"/>
      <c r="CW1614" s="56"/>
      <c r="CX1614" s="56"/>
      <c r="CY1614" s="56"/>
      <c r="CZ1614" s="56"/>
      <c r="DA1614" s="56"/>
      <c r="DB1614" s="56"/>
      <c r="DC1614" s="56"/>
      <c r="DD1614" s="56"/>
      <c r="DE1614" s="56"/>
      <c r="DF1614" s="56"/>
      <c r="DG1614" s="56"/>
      <c r="DH1614" s="56"/>
      <c r="DI1614" s="56"/>
      <c r="DJ1614" s="56"/>
      <c r="DK1614" s="56"/>
      <c r="DL1614" s="56"/>
      <c r="DM1614" s="56"/>
      <c r="DN1614" s="56"/>
      <c r="DO1614" s="56"/>
      <c r="DP1614" s="56"/>
      <c r="DQ1614" s="56"/>
      <c r="DR1614" s="56"/>
      <c r="DS1614" s="56"/>
      <c r="DT1614" s="56"/>
      <c r="DU1614" s="56"/>
      <c r="DV1614" s="56"/>
      <c r="DW1614" s="56"/>
      <c r="DX1614" s="56"/>
      <c r="DY1614" s="56"/>
      <c r="DZ1614" s="56"/>
      <c r="EA1614" s="56"/>
      <c r="EB1614" s="56"/>
      <c r="EC1614" s="56"/>
      <c r="ED1614" s="56"/>
      <c r="EE1614" s="56"/>
      <c r="EF1614" s="56"/>
      <c r="EG1614" s="56"/>
      <c r="EH1614" s="56"/>
      <c r="EI1614" s="56"/>
      <c r="EJ1614" s="56"/>
      <c r="EK1614" s="56"/>
      <c r="EL1614" s="56"/>
      <c r="EM1614" s="56"/>
      <c r="EN1614" s="56"/>
      <c r="EO1614" s="56"/>
      <c r="EP1614" s="56"/>
      <c r="EQ1614" s="56"/>
      <c r="ER1614" s="56"/>
      <c r="ES1614" s="56"/>
      <c r="ET1614" s="56"/>
      <c r="EU1614" s="56"/>
      <c r="EV1614" s="56"/>
      <c r="EW1614" s="56"/>
      <c r="EX1614" s="56"/>
      <c r="EY1614" s="56"/>
      <c r="EZ1614" s="56"/>
      <c r="FA1614" s="56"/>
      <c r="FB1614" s="56"/>
      <c r="FC1614" s="56"/>
      <c r="FD1614" s="56"/>
      <c r="FE1614" s="56"/>
      <c r="FF1614" s="56"/>
      <c r="FG1614" s="56"/>
      <c r="FH1614" s="56"/>
      <c r="FI1614" s="56"/>
      <c r="FJ1614" s="56"/>
      <c r="FK1614" s="56"/>
      <c r="FL1614" s="56"/>
      <c r="FM1614" s="56"/>
      <c r="FN1614" s="56"/>
      <c r="FO1614" s="56"/>
      <c r="FP1614" s="56"/>
      <c r="FQ1614" s="56"/>
      <c r="FR1614" s="56"/>
      <c r="FS1614" s="56"/>
      <c r="FT1614" s="56"/>
      <c r="FU1614" s="56"/>
      <c r="FV1614" s="56"/>
      <c r="FW1614" s="56"/>
      <c r="FX1614" s="56"/>
      <c r="FY1614" s="56"/>
      <c r="FZ1614" s="56"/>
      <c r="GA1614" s="56"/>
      <c r="GB1614" s="56"/>
      <c r="GC1614" s="56"/>
      <c r="GD1614" s="56"/>
      <c r="GE1614" s="56"/>
      <c r="GF1614" s="56"/>
    </row>
    <row r="1615" spans="1:48" s="18" customFormat="1" ht="16.5" customHeight="1">
      <c r="A1615" s="50"/>
      <c r="B1615" s="93" t="s">
        <v>669</v>
      </c>
      <c r="C1615" s="16"/>
      <c r="D1615" s="52"/>
      <c r="E1615" s="52"/>
      <c r="F1615" s="52"/>
      <c r="G1615" s="52"/>
      <c r="H1615" s="52"/>
      <c r="I1615" s="52"/>
      <c r="J1615" s="52"/>
      <c r="K1615" s="52"/>
      <c r="L1615" s="60" t="str">
        <f>L1616</f>
        <v> -</v>
      </c>
      <c r="M1615" s="60">
        <f>M1616</f>
        <v>1</v>
      </c>
      <c r="N1615" s="60">
        <f>N1616</f>
        <v>1</v>
      </c>
      <c r="O1615" s="60" t="str">
        <f>O1616</f>
        <v> -</v>
      </c>
      <c r="P1615" s="60" t="str">
        <f>P1616</f>
        <v> -</v>
      </c>
      <c r="Q1615" s="23"/>
      <c r="R1615" s="23"/>
      <c r="S1615" s="17"/>
      <c r="T1615" s="47"/>
      <c r="U1615" s="47"/>
      <c r="V1615" s="47"/>
      <c r="W1615" s="47"/>
      <c r="X1615" s="47"/>
      <c r="Y1615" s="47"/>
      <c r="Z1615" s="47"/>
      <c r="AA1615" s="47"/>
      <c r="AB1615" s="47"/>
      <c r="AC1615" s="47"/>
      <c r="AD1615" s="47"/>
      <c r="AE1615" s="47"/>
      <c r="AF1615" s="47"/>
      <c r="AG1615" s="47"/>
      <c r="AH1615" s="47"/>
      <c r="AI1615" s="47"/>
      <c r="AJ1615" s="47"/>
      <c r="AK1615" s="47"/>
      <c r="AL1615" s="47"/>
      <c r="AM1615" s="47"/>
      <c r="AN1615" s="47"/>
      <c r="AO1615" s="47"/>
      <c r="AP1615" s="47"/>
      <c r="AQ1615" s="47"/>
      <c r="AR1615" s="47"/>
      <c r="AS1615" s="47"/>
      <c r="AT1615" s="47"/>
      <c r="AU1615" s="47"/>
      <c r="AV1615" s="47"/>
    </row>
    <row r="1616" spans="1:48" s="27" customFormat="1" ht="33.75" customHeight="1">
      <c r="A1616" s="12"/>
      <c r="B1616" s="97" t="s">
        <v>526</v>
      </c>
      <c r="C1616" s="29" t="s">
        <v>525</v>
      </c>
      <c r="D1616" s="51"/>
      <c r="E1616" s="51"/>
      <c r="F1616" s="51" t="s">
        <v>556</v>
      </c>
      <c r="G1616" s="51">
        <v>8</v>
      </c>
      <c r="H1616" s="51">
        <v>8</v>
      </c>
      <c r="I1616" s="51">
        <v>8</v>
      </c>
      <c r="J1616" s="51">
        <v>8</v>
      </c>
      <c r="K1616" s="51">
        <v>8</v>
      </c>
      <c r="L1616" s="40" t="s">
        <v>556</v>
      </c>
      <c r="M1616" s="40">
        <v>1</v>
      </c>
      <c r="N1616" s="40">
        <v>1</v>
      </c>
      <c r="O1616" s="40" t="s">
        <v>556</v>
      </c>
      <c r="P1616" s="40" t="s">
        <v>556</v>
      </c>
      <c r="Q1616" s="33"/>
      <c r="R1616" s="28"/>
      <c r="S1616" s="2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</row>
    <row r="1617" spans="1:48" s="18" customFormat="1" ht="16.5" customHeight="1">
      <c r="A1617" s="50"/>
      <c r="B1617" s="93" t="s">
        <v>670</v>
      </c>
      <c r="C1617" s="16"/>
      <c r="D1617" s="52"/>
      <c r="E1617" s="51"/>
      <c r="F1617" s="52"/>
      <c r="G1617" s="52"/>
      <c r="H1617" s="52"/>
      <c r="I1617" s="52"/>
      <c r="J1617" s="52"/>
      <c r="K1617" s="52"/>
      <c r="L1617" s="60" t="str">
        <f>L1618</f>
        <v> -</v>
      </c>
      <c r="M1617" s="60">
        <f>M1618</f>
        <v>1</v>
      </c>
      <c r="N1617" s="60">
        <f>N1618</f>
        <v>1</v>
      </c>
      <c r="O1617" s="60" t="str">
        <f>O1618</f>
        <v> -</v>
      </c>
      <c r="P1617" s="60" t="str">
        <f>P1618</f>
        <v> -</v>
      </c>
      <c r="Q1617" s="23"/>
      <c r="R1617" s="23"/>
      <c r="S1617" s="17"/>
      <c r="T1617" s="47"/>
      <c r="U1617" s="47"/>
      <c r="V1617" s="47"/>
      <c r="W1617" s="47"/>
      <c r="X1617" s="47"/>
      <c r="Y1617" s="47"/>
      <c r="Z1617" s="47"/>
      <c r="AA1617" s="47"/>
      <c r="AB1617" s="47"/>
      <c r="AC1617" s="47"/>
      <c r="AD1617" s="47"/>
      <c r="AE1617" s="47"/>
      <c r="AF1617" s="47"/>
      <c r="AG1617" s="47"/>
      <c r="AH1617" s="47"/>
      <c r="AI1617" s="47"/>
      <c r="AJ1617" s="47"/>
      <c r="AK1617" s="47"/>
      <c r="AL1617" s="47"/>
      <c r="AM1617" s="47"/>
      <c r="AN1617" s="47"/>
      <c r="AO1617" s="47"/>
      <c r="AP1617" s="47"/>
      <c r="AQ1617" s="47"/>
      <c r="AR1617" s="47"/>
      <c r="AS1617" s="47"/>
      <c r="AT1617" s="47"/>
      <c r="AU1617" s="47"/>
      <c r="AV1617" s="47"/>
    </row>
    <row r="1618" spans="1:48" s="27" customFormat="1" ht="16.5" customHeight="1">
      <c r="A1618" s="12"/>
      <c r="B1618" s="97" t="s">
        <v>6</v>
      </c>
      <c r="C1618" s="15" t="s">
        <v>7</v>
      </c>
      <c r="D1618" s="51"/>
      <c r="E1618" s="51"/>
      <c r="F1618" s="51">
        <v>1</v>
      </c>
      <c r="G1618" s="51">
        <v>3</v>
      </c>
      <c r="H1618" s="51">
        <v>3</v>
      </c>
      <c r="I1618" s="51">
        <v>3</v>
      </c>
      <c r="J1618" s="51">
        <v>3</v>
      </c>
      <c r="K1618" s="51">
        <v>3</v>
      </c>
      <c r="L1618" s="40" t="s">
        <v>556</v>
      </c>
      <c r="M1618" s="40">
        <v>1</v>
      </c>
      <c r="N1618" s="40">
        <v>1</v>
      </c>
      <c r="O1618" s="40" t="s">
        <v>556</v>
      </c>
      <c r="P1618" s="40" t="s">
        <v>556</v>
      </c>
      <c r="Q1618" s="33"/>
      <c r="R1618" s="28"/>
      <c r="S1618" s="2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</row>
    <row r="1619" spans="1:188" s="57" customFormat="1" ht="16.5" customHeight="1">
      <c r="A1619" s="13">
        <v>101</v>
      </c>
      <c r="B1619" s="92" t="s">
        <v>478</v>
      </c>
      <c r="C1619" s="45"/>
      <c r="D1619" s="44">
        <v>28</v>
      </c>
      <c r="E1619" s="44">
        <v>5</v>
      </c>
      <c r="F1619" s="44">
        <v>96</v>
      </c>
      <c r="G1619" s="44">
        <v>28</v>
      </c>
      <c r="H1619" s="44">
        <v>28</v>
      </c>
      <c r="I1619" s="44">
        <v>28</v>
      </c>
      <c r="J1619" s="44">
        <v>29</v>
      </c>
      <c r="K1619" s="44">
        <v>29</v>
      </c>
      <c r="L1619" s="44">
        <f>L1620</f>
        <v>1</v>
      </c>
      <c r="M1619" s="44">
        <f>M1620</f>
        <v>1</v>
      </c>
      <c r="N1619" s="44">
        <f>N1620</f>
        <v>1</v>
      </c>
      <c r="O1619" s="44">
        <f>O1620</f>
        <v>1</v>
      </c>
      <c r="P1619" s="44">
        <f>P1620</f>
        <v>1</v>
      </c>
      <c r="Q1619" s="54" t="s">
        <v>648</v>
      </c>
      <c r="R1619" s="54">
        <v>15</v>
      </c>
      <c r="S1619" s="55" t="s">
        <v>1272</v>
      </c>
      <c r="T1619" s="56"/>
      <c r="U1619" s="56"/>
      <c r="V1619" s="56"/>
      <c r="W1619" s="56"/>
      <c r="X1619" s="56"/>
      <c r="Y1619" s="56"/>
      <c r="Z1619" s="56"/>
      <c r="AA1619" s="56"/>
      <c r="AB1619" s="56"/>
      <c r="AC1619" s="56"/>
      <c r="AD1619" s="56"/>
      <c r="AE1619" s="56"/>
      <c r="AF1619" s="56"/>
      <c r="AG1619" s="56"/>
      <c r="AH1619" s="56"/>
      <c r="AI1619" s="56"/>
      <c r="AJ1619" s="56"/>
      <c r="AK1619" s="56"/>
      <c r="AL1619" s="56"/>
      <c r="AM1619" s="56"/>
      <c r="AN1619" s="56"/>
      <c r="AO1619" s="56"/>
      <c r="AP1619" s="56"/>
      <c r="AQ1619" s="56"/>
      <c r="AR1619" s="56"/>
      <c r="AS1619" s="56"/>
      <c r="AT1619" s="56"/>
      <c r="AU1619" s="56"/>
      <c r="AV1619" s="56"/>
      <c r="AW1619" s="56"/>
      <c r="AX1619" s="56"/>
      <c r="AY1619" s="56"/>
      <c r="AZ1619" s="56"/>
      <c r="BA1619" s="56"/>
      <c r="BB1619" s="56"/>
      <c r="BC1619" s="56"/>
      <c r="BD1619" s="56"/>
      <c r="BE1619" s="56"/>
      <c r="BF1619" s="56"/>
      <c r="BG1619" s="56"/>
      <c r="BH1619" s="56"/>
      <c r="BI1619" s="56"/>
      <c r="BJ1619" s="56"/>
      <c r="BK1619" s="56"/>
      <c r="BL1619" s="56"/>
      <c r="BM1619" s="56"/>
      <c r="BN1619" s="56"/>
      <c r="BO1619" s="56"/>
      <c r="BP1619" s="56"/>
      <c r="BQ1619" s="56"/>
      <c r="BR1619" s="56"/>
      <c r="BS1619" s="56"/>
      <c r="BT1619" s="56"/>
      <c r="BU1619" s="56"/>
      <c r="BV1619" s="56"/>
      <c r="BW1619" s="56"/>
      <c r="BX1619" s="56"/>
      <c r="BY1619" s="56"/>
      <c r="BZ1619" s="56"/>
      <c r="CA1619" s="56"/>
      <c r="CB1619" s="56"/>
      <c r="CC1619" s="56"/>
      <c r="CD1619" s="56"/>
      <c r="CE1619" s="56"/>
      <c r="CF1619" s="56"/>
      <c r="CG1619" s="56"/>
      <c r="CH1619" s="56"/>
      <c r="CI1619" s="56"/>
      <c r="CJ1619" s="56"/>
      <c r="CK1619" s="56"/>
      <c r="CL1619" s="56"/>
      <c r="CM1619" s="56"/>
      <c r="CN1619" s="56"/>
      <c r="CO1619" s="56"/>
      <c r="CP1619" s="56"/>
      <c r="CQ1619" s="56"/>
      <c r="CR1619" s="56"/>
      <c r="CS1619" s="56"/>
      <c r="CT1619" s="56"/>
      <c r="CU1619" s="56"/>
      <c r="CV1619" s="56"/>
      <c r="CW1619" s="56"/>
      <c r="CX1619" s="56"/>
      <c r="CY1619" s="56"/>
      <c r="CZ1619" s="56"/>
      <c r="DA1619" s="56"/>
      <c r="DB1619" s="56"/>
      <c r="DC1619" s="56"/>
      <c r="DD1619" s="56"/>
      <c r="DE1619" s="56"/>
      <c r="DF1619" s="56"/>
      <c r="DG1619" s="56"/>
      <c r="DH1619" s="56"/>
      <c r="DI1619" s="56"/>
      <c r="DJ1619" s="56"/>
      <c r="DK1619" s="56"/>
      <c r="DL1619" s="56"/>
      <c r="DM1619" s="56"/>
      <c r="DN1619" s="56"/>
      <c r="DO1619" s="56"/>
      <c r="DP1619" s="56"/>
      <c r="DQ1619" s="56"/>
      <c r="DR1619" s="56"/>
      <c r="DS1619" s="56"/>
      <c r="DT1619" s="56"/>
      <c r="DU1619" s="56"/>
      <c r="DV1619" s="56"/>
      <c r="DW1619" s="56"/>
      <c r="DX1619" s="56"/>
      <c r="DY1619" s="56"/>
      <c r="DZ1619" s="56"/>
      <c r="EA1619" s="56"/>
      <c r="EB1619" s="56"/>
      <c r="EC1619" s="56"/>
      <c r="ED1619" s="56"/>
      <c r="EE1619" s="56"/>
      <c r="EF1619" s="56"/>
      <c r="EG1619" s="56"/>
      <c r="EH1619" s="56"/>
      <c r="EI1619" s="56"/>
      <c r="EJ1619" s="56"/>
      <c r="EK1619" s="56"/>
      <c r="EL1619" s="56"/>
      <c r="EM1619" s="56"/>
      <c r="EN1619" s="56"/>
      <c r="EO1619" s="56"/>
      <c r="EP1619" s="56"/>
      <c r="EQ1619" s="56"/>
      <c r="ER1619" s="56"/>
      <c r="ES1619" s="56"/>
      <c r="ET1619" s="56"/>
      <c r="EU1619" s="56"/>
      <c r="EV1619" s="56"/>
      <c r="EW1619" s="56"/>
      <c r="EX1619" s="56"/>
      <c r="EY1619" s="56"/>
      <c r="EZ1619" s="56"/>
      <c r="FA1619" s="56"/>
      <c r="FB1619" s="56"/>
      <c r="FC1619" s="56"/>
      <c r="FD1619" s="56"/>
      <c r="FE1619" s="56"/>
      <c r="FF1619" s="56"/>
      <c r="FG1619" s="56"/>
      <c r="FH1619" s="56"/>
      <c r="FI1619" s="56"/>
      <c r="FJ1619" s="56"/>
      <c r="FK1619" s="56"/>
      <c r="FL1619" s="56"/>
      <c r="FM1619" s="56"/>
      <c r="FN1619" s="56"/>
      <c r="FO1619" s="56"/>
      <c r="FP1619" s="56"/>
      <c r="FQ1619" s="56"/>
      <c r="FR1619" s="56"/>
      <c r="FS1619" s="56"/>
      <c r="FT1619" s="56"/>
      <c r="FU1619" s="56"/>
      <c r="FV1619" s="56"/>
      <c r="FW1619" s="56"/>
      <c r="FX1619" s="56"/>
      <c r="FY1619" s="56"/>
      <c r="FZ1619" s="56"/>
      <c r="GA1619" s="56"/>
      <c r="GB1619" s="56"/>
      <c r="GC1619" s="56"/>
      <c r="GD1619" s="56"/>
      <c r="GE1619" s="56"/>
      <c r="GF1619" s="56"/>
    </row>
    <row r="1620" spans="1:48" s="18" customFormat="1" ht="16.5" customHeight="1">
      <c r="A1620" s="50"/>
      <c r="B1620" s="93" t="s">
        <v>669</v>
      </c>
      <c r="C1620" s="16"/>
      <c r="D1620" s="52"/>
      <c r="E1620" s="52"/>
      <c r="F1620" s="52"/>
      <c r="G1620" s="52"/>
      <c r="H1620" s="52"/>
      <c r="I1620" s="52"/>
      <c r="J1620" s="52"/>
      <c r="K1620" s="52"/>
      <c r="L1620" s="60">
        <f>SUM(L1621:L1623)</f>
        <v>1</v>
      </c>
      <c r="M1620" s="60">
        <f>SUM(M1621:M1623)</f>
        <v>1</v>
      </c>
      <c r="N1620" s="60">
        <f>SUM(N1621:N1623)</f>
        <v>1</v>
      </c>
      <c r="O1620" s="60">
        <f>SUM(O1621:O1623)</f>
        <v>1</v>
      </c>
      <c r="P1620" s="60">
        <f>SUM(P1621:P1623)</f>
        <v>1</v>
      </c>
      <c r="Q1620" s="23"/>
      <c r="R1620" s="23"/>
      <c r="S1620" s="17"/>
      <c r="T1620" s="47"/>
      <c r="U1620" s="47"/>
      <c r="V1620" s="47"/>
      <c r="W1620" s="47"/>
      <c r="X1620" s="47"/>
      <c r="Y1620" s="47"/>
      <c r="Z1620" s="47"/>
      <c r="AA1620" s="47"/>
      <c r="AB1620" s="47"/>
      <c r="AC1620" s="47"/>
      <c r="AD1620" s="47"/>
      <c r="AE1620" s="47"/>
      <c r="AF1620" s="47"/>
      <c r="AG1620" s="47"/>
      <c r="AH1620" s="47"/>
      <c r="AI1620" s="47"/>
      <c r="AJ1620" s="47"/>
      <c r="AK1620" s="47"/>
      <c r="AL1620" s="47"/>
      <c r="AM1620" s="47"/>
      <c r="AN1620" s="47"/>
      <c r="AO1620" s="47"/>
      <c r="AP1620" s="47"/>
      <c r="AQ1620" s="47"/>
      <c r="AR1620" s="47"/>
      <c r="AS1620" s="47"/>
      <c r="AT1620" s="47"/>
      <c r="AU1620" s="47"/>
      <c r="AV1620" s="47"/>
    </row>
    <row r="1621" spans="1:48" s="27" customFormat="1" ht="30.75" customHeight="1">
      <c r="A1621" s="12"/>
      <c r="B1621" s="97" t="s">
        <v>526</v>
      </c>
      <c r="C1621" s="29" t="s">
        <v>525</v>
      </c>
      <c r="D1621" s="51"/>
      <c r="E1621" s="51"/>
      <c r="F1621" s="51" t="s">
        <v>556</v>
      </c>
      <c r="G1621" s="51">
        <v>4</v>
      </c>
      <c r="H1621" s="51">
        <v>4</v>
      </c>
      <c r="I1621" s="51">
        <v>4</v>
      </c>
      <c r="J1621" s="51">
        <v>5</v>
      </c>
      <c r="K1621" s="51">
        <v>5</v>
      </c>
      <c r="L1621" s="40" t="s">
        <v>556</v>
      </c>
      <c r="M1621" s="40" t="s">
        <v>556</v>
      </c>
      <c r="N1621" s="40" t="s">
        <v>556</v>
      </c>
      <c r="O1621" s="40">
        <v>1</v>
      </c>
      <c r="P1621" s="40" t="s">
        <v>556</v>
      </c>
      <c r="Q1621" s="33"/>
      <c r="R1621" s="28"/>
      <c r="S1621" s="2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</row>
    <row r="1622" spans="1:48" s="27" customFormat="1" ht="17.25" customHeight="1">
      <c r="A1622" s="12"/>
      <c r="B1622" s="97" t="s">
        <v>460</v>
      </c>
      <c r="C1622" s="29" t="s">
        <v>544</v>
      </c>
      <c r="D1622" s="51"/>
      <c r="E1622" s="51"/>
      <c r="F1622" s="51"/>
      <c r="G1622" s="51">
        <v>14</v>
      </c>
      <c r="H1622" s="51">
        <v>14</v>
      </c>
      <c r="I1622" s="51">
        <v>14</v>
      </c>
      <c r="J1622" s="51">
        <v>14</v>
      </c>
      <c r="K1622" s="51">
        <v>14</v>
      </c>
      <c r="L1622" s="40" t="s">
        <v>556</v>
      </c>
      <c r="M1622" s="40">
        <v>1</v>
      </c>
      <c r="N1622" s="40">
        <v>1</v>
      </c>
      <c r="O1622" s="40" t="s">
        <v>556</v>
      </c>
      <c r="P1622" s="40">
        <v>1</v>
      </c>
      <c r="Q1622" s="33"/>
      <c r="R1622" s="33"/>
      <c r="S1622" s="33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</row>
    <row r="1623" spans="1:48" s="27" customFormat="1" ht="18.75" customHeight="1">
      <c r="A1623" s="12"/>
      <c r="B1623" s="97" t="s">
        <v>644</v>
      </c>
      <c r="C1623" s="29" t="s">
        <v>645</v>
      </c>
      <c r="D1623" s="51"/>
      <c r="E1623" s="51"/>
      <c r="F1623" s="51"/>
      <c r="G1623" s="51">
        <v>2</v>
      </c>
      <c r="H1623" s="51">
        <v>2</v>
      </c>
      <c r="I1623" s="51">
        <v>2</v>
      </c>
      <c r="J1623" s="51">
        <v>2</v>
      </c>
      <c r="K1623" s="51">
        <v>2</v>
      </c>
      <c r="L1623" s="40">
        <v>1</v>
      </c>
      <c r="M1623" s="40" t="s">
        <v>556</v>
      </c>
      <c r="N1623" s="40" t="s">
        <v>556</v>
      </c>
      <c r="O1623" s="40" t="s">
        <v>556</v>
      </c>
      <c r="P1623" s="40" t="s">
        <v>556</v>
      </c>
      <c r="Q1623" s="33"/>
      <c r="R1623" s="33"/>
      <c r="S1623" s="33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</row>
    <row r="1624" spans="1:19" ht="15" customHeight="1">
      <c r="A1624" s="399" t="s">
        <v>651</v>
      </c>
      <c r="B1624" s="399"/>
      <c r="C1624" s="399"/>
      <c r="D1624" s="399"/>
      <c r="E1624" s="399"/>
      <c r="F1624" s="399"/>
      <c r="G1624" s="399"/>
      <c r="H1624" s="399"/>
      <c r="I1624" s="399"/>
      <c r="J1624" s="399"/>
      <c r="K1624" s="399"/>
      <c r="L1624" s="399"/>
      <c r="M1624" s="399"/>
      <c r="N1624" s="399"/>
      <c r="O1624" s="399"/>
      <c r="P1624" s="399"/>
      <c r="Q1624" s="20"/>
      <c r="R1624" s="20"/>
      <c r="S1624" s="7"/>
    </row>
    <row r="1625" spans="1:19" ht="13.5" customHeight="1">
      <c r="A1625" s="400" t="s">
        <v>909</v>
      </c>
      <c r="B1625" s="400"/>
      <c r="C1625" s="400"/>
      <c r="D1625" s="400"/>
      <c r="E1625" s="400"/>
      <c r="F1625" s="400"/>
      <c r="G1625" s="400"/>
      <c r="H1625" s="400"/>
      <c r="I1625" s="400"/>
      <c r="J1625" s="400"/>
      <c r="K1625" s="400"/>
      <c r="L1625" s="400"/>
      <c r="M1625" s="400"/>
      <c r="N1625" s="400"/>
      <c r="O1625" s="400"/>
      <c r="P1625" s="400"/>
      <c r="Q1625" s="21"/>
      <c r="R1625" s="21"/>
      <c r="S1625" s="8"/>
    </row>
    <row r="1626" spans="1:188" s="57" customFormat="1" ht="19.5" customHeight="1">
      <c r="A1626" s="13">
        <v>102</v>
      </c>
      <c r="B1626" s="92" t="s">
        <v>57</v>
      </c>
      <c r="C1626" s="45"/>
      <c r="D1626" s="44">
        <v>45</v>
      </c>
      <c r="E1626" s="44">
        <v>7</v>
      </c>
      <c r="F1626" s="44"/>
      <c r="G1626" s="44">
        <v>45</v>
      </c>
      <c r="H1626" s="44">
        <v>45</v>
      </c>
      <c r="I1626" s="44">
        <v>45</v>
      </c>
      <c r="J1626" s="44">
        <v>45</v>
      </c>
      <c r="K1626" s="44">
        <v>45</v>
      </c>
      <c r="L1626" s="44">
        <v>1</v>
      </c>
      <c r="M1626" s="44">
        <v>1</v>
      </c>
      <c r="N1626" s="44" t="s">
        <v>556</v>
      </c>
      <c r="O1626" s="44">
        <v>1</v>
      </c>
      <c r="P1626" s="44" t="s">
        <v>556</v>
      </c>
      <c r="Q1626" s="54" t="s">
        <v>648</v>
      </c>
      <c r="R1626" s="54">
        <v>16</v>
      </c>
      <c r="S1626" s="55" t="s">
        <v>1276</v>
      </c>
      <c r="T1626" s="56"/>
      <c r="U1626" s="56"/>
      <c r="V1626" s="56"/>
      <c r="W1626" s="56"/>
      <c r="X1626" s="56"/>
      <c r="Y1626" s="56"/>
      <c r="Z1626" s="56"/>
      <c r="AA1626" s="56"/>
      <c r="AB1626" s="56"/>
      <c r="AC1626" s="56"/>
      <c r="AD1626" s="56"/>
      <c r="AE1626" s="56"/>
      <c r="AF1626" s="56"/>
      <c r="AG1626" s="56"/>
      <c r="AH1626" s="56"/>
      <c r="AI1626" s="56"/>
      <c r="AJ1626" s="56"/>
      <c r="AK1626" s="56"/>
      <c r="AL1626" s="56"/>
      <c r="AM1626" s="56"/>
      <c r="AN1626" s="56"/>
      <c r="AO1626" s="56"/>
      <c r="AP1626" s="56"/>
      <c r="AQ1626" s="56"/>
      <c r="AR1626" s="56"/>
      <c r="AS1626" s="56"/>
      <c r="AT1626" s="56"/>
      <c r="AU1626" s="56"/>
      <c r="AV1626" s="56"/>
      <c r="AW1626" s="56"/>
      <c r="AX1626" s="56"/>
      <c r="AY1626" s="56"/>
      <c r="AZ1626" s="56"/>
      <c r="BA1626" s="56"/>
      <c r="BB1626" s="56"/>
      <c r="BC1626" s="56"/>
      <c r="BD1626" s="56"/>
      <c r="BE1626" s="56"/>
      <c r="BF1626" s="56"/>
      <c r="BG1626" s="56"/>
      <c r="BH1626" s="56"/>
      <c r="BI1626" s="56"/>
      <c r="BJ1626" s="56"/>
      <c r="BK1626" s="56"/>
      <c r="BL1626" s="56"/>
      <c r="BM1626" s="56"/>
      <c r="BN1626" s="56"/>
      <c r="BO1626" s="56"/>
      <c r="BP1626" s="56"/>
      <c r="BQ1626" s="56"/>
      <c r="BR1626" s="56"/>
      <c r="BS1626" s="56"/>
      <c r="BT1626" s="56"/>
      <c r="BU1626" s="56"/>
      <c r="BV1626" s="56"/>
      <c r="BW1626" s="56"/>
      <c r="BX1626" s="56"/>
      <c r="BY1626" s="56"/>
      <c r="BZ1626" s="56"/>
      <c r="CA1626" s="56"/>
      <c r="CB1626" s="56"/>
      <c r="CC1626" s="56"/>
      <c r="CD1626" s="56"/>
      <c r="CE1626" s="56"/>
      <c r="CF1626" s="56"/>
      <c r="CG1626" s="56"/>
      <c r="CH1626" s="56"/>
      <c r="CI1626" s="56"/>
      <c r="CJ1626" s="56"/>
      <c r="CK1626" s="56"/>
      <c r="CL1626" s="56"/>
      <c r="CM1626" s="56"/>
      <c r="CN1626" s="56"/>
      <c r="CO1626" s="56"/>
      <c r="CP1626" s="56"/>
      <c r="CQ1626" s="56"/>
      <c r="CR1626" s="56"/>
      <c r="CS1626" s="56"/>
      <c r="CT1626" s="56"/>
      <c r="CU1626" s="56"/>
      <c r="CV1626" s="56"/>
      <c r="CW1626" s="56"/>
      <c r="CX1626" s="56"/>
      <c r="CY1626" s="56"/>
      <c r="CZ1626" s="56"/>
      <c r="DA1626" s="56"/>
      <c r="DB1626" s="56"/>
      <c r="DC1626" s="56"/>
      <c r="DD1626" s="56"/>
      <c r="DE1626" s="56"/>
      <c r="DF1626" s="56"/>
      <c r="DG1626" s="56"/>
      <c r="DH1626" s="56"/>
      <c r="DI1626" s="56"/>
      <c r="DJ1626" s="56"/>
      <c r="DK1626" s="56"/>
      <c r="DL1626" s="56"/>
      <c r="DM1626" s="56"/>
      <c r="DN1626" s="56"/>
      <c r="DO1626" s="56"/>
      <c r="DP1626" s="56"/>
      <c r="DQ1626" s="56"/>
      <c r="DR1626" s="56"/>
      <c r="DS1626" s="56"/>
      <c r="DT1626" s="56"/>
      <c r="DU1626" s="56"/>
      <c r="DV1626" s="56"/>
      <c r="DW1626" s="56"/>
      <c r="DX1626" s="56"/>
      <c r="DY1626" s="56"/>
      <c r="DZ1626" s="56"/>
      <c r="EA1626" s="56"/>
      <c r="EB1626" s="56"/>
      <c r="EC1626" s="56"/>
      <c r="ED1626" s="56"/>
      <c r="EE1626" s="56"/>
      <c r="EF1626" s="56"/>
      <c r="EG1626" s="56"/>
      <c r="EH1626" s="56"/>
      <c r="EI1626" s="56"/>
      <c r="EJ1626" s="56"/>
      <c r="EK1626" s="56"/>
      <c r="EL1626" s="56"/>
      <c r="EM1626" s="56"/>
      <c r="EN1626" s="56"/>
      <c r="EO1626" s="56"/>
      <c r="EP1626" s="56"/>
      <c r="EQ1626" s="56"/>
      <c r="ER1626" s="56"/>
      <c r="ES1626" s="56"/>
      <c r="ET1626" s="56"/>
      <c r="EU1626" s="56"/>
      <c r="EV1626" s="56"/>
      <c r="EW1626" s="56"/>
      <c r="EX1626" s="56"/>
      <c r="EY1626" s="56"/>
      <c r="EZ1626" s="56"/>
      <c r="FA1626" s="56"/>
      <c r="FB1626" s="56"/>
      <c r="FC1626" s="56"/>
      <c r="FD1626" s="56"/>
      <c r="FE1626" s="56"/>
      <c r="FF1626" s="56"/>
      <c r="FG1626" s="56"/>
      <c r="FH1626" s="56"/>
      <c r="FI1626" s="56"/>
      <c r="FJ1626" s="56"/>
      <c r="FK1626" s="56"/>
      <c r="FL1626" s="56"/>
      <c r="FM1626" s="56"/>
      <c r="FN1626" s="56"/>
      <c r="FO1626" s="56"/>
      <c r="FP1626" s="56"/>
      <c r="FQ1626" s="56"/>
      <c r="FR1626" s="56"/>
      <c r="FS1626" s="56"/>
      <c r="FT1626" s="56"/>
      <c r="FU1626" s="56"/>
      <c r="FV1626" s="56"/>
      <c r="FW1626" s="56"/>
      <c r="FX1626" s="56"/>
      <c r="FY1626" s="56"/>
      <c r="FZ1626" s="56"/>
      <c r="GA1626" s="56"/>
      <c r="GB1626" s="56"/>
      <c r="GC1626" s="56"/>
      <c r="GD1626" s="56"/>
      <c r="GE1626" s="56"/>
      <c r="GF1626" s="56"/>
    </row>
    <row r="1627" spans="1:48" s="18" customFormat="1" ht="15.75" customHeight="1">
      <c r="A1627" s="50"/>
      <c r="B1627" s="93" t="s">
        <v>669</v>
      </c>
      <c r="C1627" s="16"/>
      <c r="D1627" s="52"/>
      <c r="E1627" s="52"/>
      <c r="F1627" s="52"/>
      <c r="G1627" s="52"/>
      <c r="H1627" s="52"/>
      <c r="I1627" s="52"/>
      <c r="J1627" s="52"/>
      <c r="K1627" s="52"/>
      <c r="L1627" s="60">
        <f>SUM(L1628:L1631)</f>
        <v>1</v>
      </c>
      <c r="M1627" s="60" t="s">
        <v>556</v>
      </c>
      <c r="N1627" s="60" t="s">
        <v>556</v>
      </c>
      <c r="O1627" s="60">
        <f>SUM(O1628:O1631)</f>
        <v>1</v>
      </c>
      <c r="P1627" s="60" t="s">
        <v>556</v>
      </c>
      <c r="Q1627" s="23"/>
      <c r="R1627" s="23"/>
      <c r="S1627" s="17"/>
      <c r="T1627" s="47"/>
      <c r="U1627" s="47"/>
      <c r="V1627" s="47"/>
      <c r="W1627" s="47"/>
      <c r="X1627" s="47"/>
      <c r="Y1627" s="47"/>
      <c r="Z1627" s="47"/>
      <c r="AA1627" s="47"/>
      <c r="AB1627" s="47"/>
      <c r="AC1627" s="47"/>
      <c r="AD1627" s="47"/>
      <c r="AE1627" s="47"/>
      <c r="AF1627" s="47"/>
      <c r="AG1627" s="47"/>
      <c r="AH1627" s="47"/>
      <c r="AI1627" s="47"/>
      <c r="AJ1627" s="47"/>
      <c r="AK1627" s="47"/>
      <c r="AL1627" s="47"/>
      <c r="AM1627" s="47"/>
      <c r="AN1627" s="47"/>
      <c r="AO1627" s="47"/>
      <c r="AP1627" s="47"/>
      <c r="AQ1627" s="47"/>
      <c r="AR1627" s="47"/>
      <c r="AS1627" s="47"/>
      <c r="AT1627" s="47"/>
      <c r="AU1627" s="47"/>
      <c r="AV1627" s="47"/>
    </row>
    <row r="1628" spans="1:48" s="27" customFormat="1" ht="15.75" customHeight="1">
      <c r="A1628" s="12"/>
      <c r="B1628" s="97" t="s">
        <v>560</v>
      </c>
      <c r="C1628" s="29" t="s">
        <v>1319</v>
      </c>
      <c r="D1628" s="51"/>
      <c r="E1628" s="51"/>
      <c r="F1628" s="51">
        <v>21</v>
      </c>
      <c r="G1628" s="51">
        <v>7</v>
      </c>
      <c r="H1628" s="51">
        <v>7</v>
      </c>
      <c r="I1628" s="51">
        <v>7</v>
      </c>
      <c r="J1628" s="51">
        <v>7</v>
      </c>
      <c r="K1628" s="51">
        <v>7</v>
      </c>
      <c r="L1628" s="40">
        <v>1</v>
      </c>
      <c r="M1628" s="40" t="s">
        <v>556</v>
      </c>
      <c r="N1628" s="40" t="s">
        <v>556</v>
      </c>
      <c r="O1628" s="40" t="s">
        <v>556</v>
      </c>
      <c r="P1628" s="40" t="s">
        <v>556</v>
      </c>
      <c r="Q1628" s="30"/>
      <c r="R1628" s="30"/>
      <c r="S1628" s="30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</row>
    <row r="1629" spans="1:48" s="27" customFormat="1" ht="15.75" customHeight="1">
      <c r="A1629" s="12"/>
      <c r="B1629" s="97" t="s">
        <v>448</v>
      </c>
      <c r="C1629" s="29" t="s">
        <v>449</v>
      </c>
      <c r="D1629" s="51"/>
      <c r="E1629" s="51"/>
      <c r="F1629" s="51"/>
      <c r="G1629" s="51">
        <v>3</v>
      </c>
      <c r="H1629" s="51">
        <v>3</v>
      </c>
      <c r="I1629" s="51">
        <v>3</v>
      </c>
      <c r="J1629" s="51">
        <v>3</v>
      </c>
      <c r="K1629" s="51">
        <v>3</v>
      </c>
      <c r="L1629" s="40" t="s">
        <v>556</v>
      </c>
      <c r="M1629" s="40" t="s">
        <v>556</v>
      </c>
      <c r="N1629" s="40" t="s">
        <v>556</v>
      </c>
      <c r="O1629" s="40">
        <v>1</v>
      </c>
      <c r="P1629" s="40" t="s">
        <v>556</v>
      </c>
      <c r="Q1629" s="30"/>
      <c r="R1629" s="30"/>
      <c r="S1629" s="30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</row>
    <row r="1630" spans="1:48" s="18" customFormat="1" ht="15.75" customHeight="1">
      <c r="A1630" s="50"/>
      <c r="B1630" s="93" t="s">
        <v>670</v>
      </c>
      <c r="C1630" s="16"/>
      <c r="D1630" s="52"/>
      <c r="E1630" s="51"/>
      <c r="F1630" s="52"/>
      <c r="G1630" s="52"/>
      <c r="H1630" s="52"/>
      <c r="I1630" s="52"/>
      <c r="J1630" s="52"/>
      <c r="K1630" s="52"/>
      <c r="L1630" s="60" t="s">
        <v>556</v>
      </c>
      <c r="M1630" s="60">
        <v>1</v>
      </c>
      <c r="N1630" s="60" t="s">
        <v>556</v>
      </c>
      <c r="O1630" s="60" t="s">
        <v>556</v>
      </c>
      <c r="P1630" s="60" t="s">
        <v>556</v>
      </c>
      <c r="Q1630" s="23"/>
      <c r="R1630" s="23"/>
      <c r="S1630" s="17"/>
      <c r="T1630" s="47"/>
      <c r="U1630" s="47"/>
      <c r="V1630" s="47"/>
      <c r="W1630" s="47"/>
      <c r="X1630" s="47"/>
      <c r="Y1630" s="47"/>
      <c r="Z1630" s="47"/>
      <c r="AA1630" s="47"/>
      <c r="AB1630" s="47"/>
      <c r="AC1630" s="47"/>
      <c r="AD1630" s="47"/>
      <c r="AE1630" s="47"/>
      <c r="AF1630" s="47"/>
      <c r="AG1630" s="47"/>
      <c r="AH1630" s="47"/>
      <c r="AI1630" s="47"/>
      <c r="AJ1630" s="47"/>
      <c r="AK1630" s="47"/>
      <c r="AL1630" s="47"/>
      <c r="AM1630" s="47"/>
      <c r="AN1630" s="47"/>
      <c r="AO1630" s="47"/>
      <c r="AP1630" s="47"/>
      <c r="AQ1630" s="47"/>
      <c r="AR1630" s="47"/>
      <c r="AS1630" s="47"/>
      <c r="AT1630" s="47"/>
      <c r="AU1630" s="47"/>
      <c r="AV1630" s="47"/>
    </row>
    <row r="1631" spans="1:48" s="27" customFormat="1" ht="15.75" customHeight="1">
      <c r="A1631" s="12"/>
      <c r="B1631" s="97" t="s">
        <v>561</v>
      </c>
      <c r="C1631" s="29" t="s">
        <v>1053</v>
      </c>
      <c r="D1631" s="51"/>
      <c r="E1631" s="51"/>
      <c r="F1631" s="51">
        <v>1</v>
      </c>
      <c r="G1631" s="51">
        <v>4</v>
      </c>
      <c r="H1631" s="51">
        <v>4</v>
      </c>
      <c r="I1631" s="51">
        <v>4</v>
      </c>
      <c r="J1631" s="51">
        <v>4</v>
      </c>
      <c r="K1631" s="51">
        <v>4</v>
      </c>
      <c r="L1631" s="40" t="s">
        <v>556</v>
      </c>
      <c r="M1631" s="40">
        <v>1</v>
      </c>
      <c r="N1631" s="40" t="s">
        <v>556</v>
      </c>
      <c r="O1631" s="40" t="s">
        <v>556</v>
      </c>
      <c r="P1631" s="40" t="s">
        <v>556</v>
      </c>
      <c r="Q1631" s="30"/>
      <c r="R1631" s="30"/>
      <c r="S1631" s="30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</row>
    <row r="1632" spans="1:188" s="57" customFormat="1" ht="15.75" customHeight="1">
      <c r="A1632" s="13">
        <v>1003</v>
      </c>
      <c r="B1632" s="92" t="s">
        <v>245</v>
      </c>
      <c r="C1632" s="45"/>
      <c r="D1632" s="44">
        <v>76</v>
      </c>
      <c r="E1632" s="44">
        <v>9</v>
      </c>
      <c r="F1632" s="44"/>
      <c r="G1632" s="44">
        <v>76</v>
      </c>
      <c r="H1632" s="44">
        <v>76</v>
      </c>
      <c r="I1632" s="44">
        <v>76</v>
      </c>
      <c r="J1632" s="44">
        <v>76</v>
      </c>
      <c r="K1632" s="44">
        <v>76</v>
      </c>
      <c r="L1632" s="44">
        <v>1</v>
      </c>
      <c r="M1632" s="44">
        <v>1</v>
      </c>
      <c r="N1632" s="44">
        <v>2</v>
      </c>
      <c r="O1632" s="44" t="s">
        <v>556</v>
      </c>
      <c r="P1632" s="44">
        <v>1</v>
      </c>
      <c r="Q1632" s="54" t="s">
        <v>648</v>
      </c>
      <c r="R1632" s="54">
        <v>16</v>
      </c>
      <c r="S1632" s="55" t="s">
        <v>1277</v>
      </c>
      <c r="T1632" s="56"/>
      <c r="U1632" s="56"/>
      <c r="V1632" s="56"/>
      <c r="W1632" s="56"/>
      <c r="X1632" s="56"/>
      <c r="Y1632" s="56"/>
      <c r="Z1632" s="56"/>
      <c r="AA1632" s="56"/>
      <c r="AB1632" s="56"/>
      <c r="AC1632" s="56"/>
      <c r="AD1632" s="56"/>
      <c r="AE1632" s="56"/>
      <c r="AF1632" s="56"/>
      <c r="AG1632" s="56"/>
      <c r="AH1632" s="56"/>
      <c r="AI1632" s="56"/>
      <c r="AJ1632" s="56"/>
      <c r="AK1632" s="56"/>
      <c r="AL1632" s="56"/>
      <c r="AM1632" s="56"/>
      <c r="AN1632" s="56"/>
      <c r="AO1632" s="56"/>
      <c r="AP1632" s="56"/>
      <c r="AQ1632" s="56"/>
      <c r="AR1632" s="56"/>
      <c r="AS1632" s="56"/>
      <c r="AT1632" s="56"/>
      <c r="AU1632" s="56"/>
      <c r="AV1632" s="56"/>
      <c r="AW1632" s="56"/>
      <c r="AX1632" s="56"/>
      <c r="AY1632" s="56"/>
      <c r="AZ1632" s="56"/>
      <c r="BA1632" s="56"/>
      <c r="BB1632" s="56"/>
      <c r="BC1632" s="56"/>
      <c r="BD1632" s="56"/>
      <c r="BE1632" s="56"/>
      <c r="BF1632" s="56"/>
      <c r="BG1632" s="56"/>
      <c r="BH1632" s="56"/>
      <c r="BI1632" s="56"/>
      <c r="BJ1632" s="56"/>
      <c r="BK1632" s="56"/>
      <c r="BL1632" s="56"/>
      <c r="BM1632" s="56"/>
      <c r="BN1632" s="56"/>
      <c r="BO1632" s="56"/>
      <c r="BP1632" s="56"/>
      <c r="BQ1632" s="56"/>
      <c r="BR1632" s="56"/>
      <c r="BS1632" s="56"/>
      <c r="BT1632" s="56"/>
      <c r="BU1632" s="56"/>
      <c r="BV1632" s="56"/>
      <c r="BW1632" s="56"/>
      <c r="BX1632" s="56"/>
      <c r="BY1632" s="56"/>
      <c r="BZ1632" s="56"/>
      <c r="CA1632" s="56"/>
      <c r="CB1632" s="56"/>
      <c r="CC1632" s="56"/>
      <c r="CD1632" s="56"/>
      <c r="CE1632" s="56"/>
      <c r="CF1632" s="56"/>
      <c r="CG1632" s="56"/>
      <c r="CH1632" s="56"/>
      <c r="CI1632" s="56"/>
      <c r="CJ1632" s="56"/>
      <c r="CK1632" s="56"/>
      <c r="CL1632" s="56"/>
      <c r="CM1632" s="56"/>
      <c r="CN1632" s="56"/>
      <c r="CO1632" s="56"/>
      <c r="CP1632" s="56"/>
      <c r="CQ1632" s="56"/>
      <c r="CR1632" s="56"/>
      <c r="CS1632" s="56"/>
      <c r="CT1632" s="56"/>
      <c r="CU1632" s="56"/>
      <c r="CV1632" s="56"/>
      <c r="CW1632" s="56"/>
      <c r="CX1632" s="56"/>
      <c r="CY1632" s="56"/>
      <c r="CZ1632" s="56"/>
      <c r="DA1632" s="56"/>
      <c r="DB1632" s="56"/>
      <c r="DC1632" s="56"/>
      <c r="DD1632" s="56"/>
      <c r="DE1632" s="56"/>
      <c r="DF1632" s="56"/>
      <c r="DG1632" s="56"/>
      <c r="DH1632" s="56"/>
      <c r="DI1632" s="56"/>
      <c r="DJ1632" s="56"/>
      <c r="DK1632" s="56"/>
      <c r="DL1632" s="56"/>
      <c r="DM1632" s="56"/>
      <c r="DN1632" s="56"/>
      <c r="DO1632" s="56"/>
      <c r="DP1632" s="56"/>
      <c r="DQ1632" s="56"/>
      <c r="DR1632" s="56"/>
      <c r="DS1632" s="56"/>
      <c r="DT1632" s="56"/>
      <c r="DU1632" s="56"/>
      <c r="DV1632" s="56"/>
      <c r="DW1632" s="56"/>
      <c r="DX1632" s="56"/>
      <c r="DY1632" s="56"/>
      <c r="DZ1632" s="56"/>
      <c r="EA1632" s="56"/>
      <c r="EB1632" s="56"/>
      <c r="EC1632" s="56"/>
      <c r="ED1632" s="56"/>
      <c r="EE1632" s="56"/>
      <c r="EF1632" s="56"/>
      <c r="EG1632" s="56"/>
      <c r="EH1632" s="56"/>
      <c r="EI1632" s="56"/>
      <c r="EJ1632" s="56"/>
      <c r="EK1632" s="56"/>
      <c r="EL1632" s="56"/>
      <c r="EM1632" s="56"/>
      <c r="EN1632" s="56"/>
      <c r="EO1632" s="56"/>
      <c r="EP1632" s="56"/>
      <c r="EQ1632" s="56"/>
      <c r="ER1632" s="56"/>
      <c r="ES1632" s="56"/>
      <c r="ET1632" s="56"/>
      <c r="EU1632" s="56"/>
      <c r="EV1632" s="56"/>
      <c r="EW1632" s="56"/>
      <c r="EX1632" s="56"/>
      <c r="EY1632" s="56"/>
      <c r="EZ1632" s="56"/>
      <c r="FA1632" s="56"/>
      <c r="FB1632" s="56"/>
      <c r="FC1632" s="56"/>
      <c r="FD1632" s="56"/>
      <c r="FE1632" s="56"/>
      <c r="FF1632" s="56"/>
      <c r="FG1632" s="56"/>
      <c r="FH1632" s="56"/>
      <c r="FI1632" s="56"/>
      <c r="FJ1632" s="56"/>
      <c r="FK1632" s="56"/>
      <c r="FL1632" s="56"/>
      <c r="FM1632" s="56"/>
      <c r="FN1632" s="56"/>
      <c r="FO1632" s="56"/>
      <c r="FP1632" s="56"/>
      <c r="FQ1632" s="56"/>
      <c r="FR1632" s="56"/>
      <c r="FS1632" s="56"/>
      <c r="FT1632" s="56"/>
      <c r="FU1632" s="56"/>
      <c r="FV1632" s="56"/>
      <c r="FW1632" s="56"/>
      <c r="FX1632" s="56"/>
      <c r="FY1632" s="56"/>
      <c r="FZ1632" s="56"/>
      <c r="GA1632" s="56"/>
      <c r="GB1632" s="56"/>
      <c r="GC1632" s="56"/>
      <c r="GD1632" s="56"/>
      <c r="GE1632" s="56"/>
      <c r="GF1632" s="56"/>
    </row>
    <row r="1633" spans="1:48" s="18" customFormat="1" ht="15.75" customHeight="1">
      <c r="A1633" s="50"/>
      <c r="B1633" s="93" t="s">
        <v>669</v>
      </c>
      <c r="C1633" s="16"/>
      <c r="D1633" s="52"/>
      <c r="E1633" s="52"/>
      <c r="F1633" s="52"/>
      <c r="G1633" s="52"/>
      <c r="H1633" s="52"/>
      <c r="I1633" s="52"/>
      <c r="J1633" s="52"/>
      <c r="K1633" s="52"/>
      <c r="L1633" s="60">
        <f>L1634</f>
        <v>1</v>
      </c>
      <c r="M1633" s="60" t="str">
        <f>M1634</f>
        <v> -</v>
      </c>
      <c r="N1633" s="60"/>
      <c r="O1633" s="60" t="str">
        <f>O1634</f>
        <v> -</v>
      </c>
      <c r="P1633" s="60" t="str">
        <f>P1634</f>
        <v> -</v>
      </c>
      <c r="Q1633" s="23"/>
      <c r="R1633" s="23"/>
      <c r="S1633" s="17"/>
      <c r="T1633" s="47"/>
      <c r="U1633" s="47"/>
      <c r="V1633" s="47"/>
      <c r="W1633" s="47"/>
      <c r="X1633" s="47"/>
      <c r="Y1633" s="47"/>
      <c r="Z1633" s="47"/>
      <c r="AA1633" s="47"/>
      <c r="AB1633" s="47"/>
      <c r="AC1633" s="47"/>
      <c r="AD1633" s="47"/>
      <c r="AE1633" s="47"/>
      <c r="AF1633" s="47"/>
      <c r="AG1633" s="47"/>
      <c r="AH1633" s="47"/>
      <c r="AI1633" s="47"/>
      <c r="AJ1633" s="47"/>
      <c r="AK1633" s="47"/>
      <c r="AL1633" s="47"/>
      <c r="AM1633" s="47"/>
      <c r="AN1633" s="47"/>
      <c r="AO1633" s="47"/>
      <c r="AP1633" s="47"/>
      <c r="AQ1633" s="47"/>
      <c r="AR1633" s="47"/>
      <c r="AS1633" s="47"/>
      <c r="AT1633" s="47"/>
      <c r="AU1633" s="47"/>
      <c r="AV1633" s="47"/>
    </row>
    <row r="1634" spans="1:48" s="27" customFormat="1" ht="15.75" customHeight="1">
      <c r="A1634" s="12"/>
      <c r="B1634" s="97" t="s">
        <v>1316</v>
      </c>
      <c r="C1634" s="29" t="s">
        <v>1317</v>
      </c>
      <c r="D1634" s="40"/>
      <c r="E1634" s="40"/>
      <c r="F1634" s="40"/>
      <c r="G1634" s="40">
        <v>1</v>
      </c>
      <c r="H1634" s="40">
        <v>1</v>
      </c>
      <c r="I1634" s="40">
        <v>1</v>
      </c>
      <c r="J1634" s="40">
        <v>1</v>
      </c>
      <c r="K1634" s="40">
        <v>1</v>
      </c>
      <c r="L1634" s="40">
        <v>1</v>
      </c>
      <c r="M1634" s="40" t="s">
        <v>556</v>
      </c>
      <c r="N1634" s="40" t="s">
        <v>556</v>
      </c>
      <c r="O1634" s="40" t="s">
        <v>556</v>
      </c>
      <c r="P1634" s="40" t="s">
        <v>556</v>
      </c>
      <c r="Q1634" s="30"/>
      <c r="R1634" s="30"/>
      <c r="S1634" s="30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</row>
    <row r="1635" spans="1:48" s="18" customFormat="1" ht="15.75" customHeight="1">
      <c r="A1635" s="50"/>
      <c r="B1635" s="93" t="s">
        <v>1336</v>
      </c>
      <c r="C1635" s="16"/>
      <c r="D1635" s="52"/>
      <c r="E1635" s="52"/>
      <c r="F1635" s="52"/>
      <c r="G1635" s="52"/>
      <c r="H1635" s="52"/>
      <c r="I1635" s="52"/>
      <c r="J1635" s="52"/>
      <c r="K1635" s="52">
        <f>SUM(K1636:K1636)</f>
        <v>1</v>
      </c>
      <c r="L1635" s="60" t="s">
        <v>556</v>
      </c>
      <c r="M1635" s="60">
        <v>1</v>
      </c>
      <c r="N1635" s="60" t="s">
        <v>556</v>
      </c>
      <c r="O1635" s="60" t="s">
        <v>556</v>
      </c>
      <c r="P1635" s="60" t="s">
        <v>556</v>
      </c>
      <c r="Q1635" s="23"/>
      <c r="R1635" s="23"/>
      <c r="S1635" s="17"/>
      <c r="T1635" s="47"/>
      <c r="U1635" s="47"/>
      <c r="V1635" s="47"/>
      <c r="W1635" s="47"/>
      <c r="X1635" s="47"/>
      <c r="Y1635" s="47"/>
      <c r="Z1635" s="47"/>
      <c r="AA1635" s="47"/>
      <c r="AB1635" s="47"/>
      <c r="AC1635" s="47"/>
      <c r="AD1635" s="47"/>
      <c r="AE1635" s="47"/>
      <c r="AF1635" s="47"/>
      <c r="AG1635" s="47"/>
      <c r="AH1635" s="47"/>
      <c r="AI1635" s="47"/>
      <c r="AJ1635" s="47"/>
      <c r="AK1635" s="47"/>
      <c r="AL1635" s="47"/>
      <c r="AM1635" s="47"/>
      <c r="AN1635" s="47"/>
      <c r="AO1635" s="47"/>
      <c r="AP1635" s="47"/>
      <c r="AQ1635" s="47"/>
      <c r="AR1635" s="47"/>
      <c r="AS1635" s="47"/>
      <c r="AT1635" s="47"/>
      <c r="AU1635" s="47"/>
      <c r="AV1635" s="47"/>
    </row>
    <row r="1636" spans="1:48" s="27" customFormat="1" ht="15.75" customHeight="1">
      <c r="A1636" s="12"/>
      <c r="B1636" s="97" t="s">
        <v>566</v>
      </c>
      <c r="C1636" s="15" t="s">
        <v>567</v>
      </c>
      <c r="D1636" s="40"/>
      <c r="E1636" s="40"/>
      <c r="F1636" s="40" t="s">
        <v>556</v>
      </c>
      <c r="G1636" s="40">
        <v>1</v>
      </c>
      <c r="H1636" s="40">
        <v>1</v>
      </c>
      <c r="I1636" s="40">
        <v>1</v>
      </c>
      <c r="J1636" s="40">
        <v>1</v>
      </c>
      <c r="K1636" s="40">
        <v>1</v>
      </c>
      <c r="L1636" s="40" t="s">
        <v>556</v>
      </c>
      <c r="M1636" s="40">
        <v>1</v>
      </c>
      <c r="N1636" s="40" t="s">
        <v>556</v>
      </c>
      <c r="O1636" s="40" t="s">
        <v>556</v>
      </c>
      <c r="P1636" s="40" t="s">
        <v>556</v>
      </c>
      <c r="Q1636" s="116" t="s">
        <v>556</v>
      </c>
      <c r="R1636" s="15" t="s">
        <v>556</v>
      </c>
      <c r="S1636" s="15" t="s">
        <v>556</v>
      </c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</row>
    <row r="1637" spans="1:48" s="27" customFormat="1" ht="15.75" customHeight="1">
      <c r="A1637" s="12"/>
      <c r="B1637" s="93" t="s">
        <v>801</v>
      </c>
      <c r="C1637" s="15"/>
      <c r="D1637" s="40"/>
      <c r="E1637" s="40"/>
      <c r="F1637" s="40"/>
      <c r="G1637" s="40"/>
      <c r="H1637" s="40"/>
      <c r="I1637" s="40"/>
      <c r="J1637" s="40"/>
      <c r="K1637" s="40"/>
      <c r="L1637" s="60" t="s">
        <v>556</v>
      </c>
      <c r="M1637" s="60" t="s">
        <v>556</v>
      </c>
      <c r="N1637" s="60">
        <v>2</v>
      </c>
      <c r="O1637" s="60" t="s">
        <v>556</v>
      </c>
      <c r="P1637" s="60">
        <v>1</v>
      </c>
      <c r="Q1637" s="116"/>
      <c r="R1637" s="116"/>
      <c r="S1637" s="116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</row>
    <row r="1638" spans="1:48" s="27" customFormat="1" ht="15.75" customHeight="1">
      <c r="A1638" s="12"/>
      <c r="B1638" s="97" t="s">
        <v>50</v>
      </c>
      <c r="C1638" s="15" t="s">
        <v>51</v>
      </c>
      <c r="D1638" s="40"/>
      <c r="E1638" s="40"/>
      <c r="F1638" s="40"/>
      <c r="G1638" s="40">
        <v>2</v>
      </c>
      <c r="H1638" s="40">
        <v>2</v>
      </c>
      <c r="I1638" s="40">
        <v>2</v>
      </c>
      <c r="J1638" s="40">
        <v>2</v>
      </c>
      <c r="K1638" s="40">
        <v>2</v>
      </c>
      <c r="L1638" s="40" t="s">
        <v>556</v>
      </c>
      <c r="M1638" s="40" t="s">
        <v>556</v>
      </c>
      <c r="N1638" s="40">
        <v>1</v>
      </c>
      <c r="O1638" s="40" t="s">
        <v>556</v>
      </c>
      <c r="P1638" s="40">
        <v>1</v>
      </c>
      <c r="Q1638" s="116"/>
      <c r="R1638" s="116"/>
      <c r="S1638" s="116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</row>
    <row r="1639" spans="1:48" s="27" customFormat="1" ht="15.75" customHeight="1">
      <c r="A1639" s="12"/>
      <c r="B1639" s="106" t="s">
        <v>1018</v>
      </c>
      <c r="C1639" s="66" t="s">
        <v>1019</v>
      </c>
      <c r="D1639" s="40"/>
      <c r="E1639" s="40"/>
      <c r="F1639" s="40"/>
      <c r="G1639" s="40">
        <v>1</v>
      </c>
      <c r="H1639" s="40">
        <v>1</v>
      </c>
      <c r="I1639" s="40">
        <v>1</v>
      </c>
      <c r="J1639" s="40">
        <v>1</v>
      </c>
      <c r="K1639" s="40">
        <v>1</v>
      </c>
      <c r="L1639" s="40" t="s">
        <v>556</v>
      </c>
      <c r="M1639" s="40" t="s">
        <v>556</v>
      </c>
      <c r="N1639" s="40">
        <v>1</v>
      </c>
      <c r="O1639" s="40" t="s">
        <v>556</v>
      </c>
      <c r="P1639" s="40" t="s">
        <v>556</v>
      </c>
      <c r="Q1639" s="116"/>
      <c r="R1639" s="116"/>
      <c r="S1639" s="116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</row>
    <row r="1640" spans="1:188" s="57" customFormat="1" ht="15" customHeight="1">
      <c r="A1640" s="13">
        <v>104</v>
      </c>
      <c r="B1640" s="92" t="s">
        <v>1359</v>
      </c>
      <c r="C1640" s="45"/>
      <c r="D1640" s="44">
        <v>22</v>
      </c>
      <c r="E1640" s="44" t="s">
        <v>556</v>
      </c>
      <c r="F1640" s="44"/>
      <c r="G1640" s="44">
        <v>22</v>
      </c>
      <c r="H1640" s="44">
        <v>22</v>
      </c>
      <c r="I1640" s="44">
        <v>22</v>
      </c>
      <c r="J1640" s="44">
        <v>22</v>
      </c>
      <c r="K1640" s="44">
        <v>22</v>
      </c>
      <c r="L1640" s="44">
        <f>L1641</f>
        <v>3</v>
      </c>
      <c r="M1640" s="44">
        <f>M1641</f>
        <v>3</v>
      </c>
      <c r="N1640" s="44">
        <f>N1641</f>
        <v>3</v>
      </c>
      <c r="O1640" s="44">
        <f>O1641</f>
        <v>3</v>
      </c>
      <c r="P1640" s="44">
        <f>P1641</f>
        <v>3</v>
      </c>
      <c r="Q1640" s="54" t="s">
        <v>648</v>
      </c>
      <c r="R1640" s="54">
        <v>16</v>
      </c>
      <c r="S1640" s="55" t="s">
        <v>1291</v>
      </c>
      <c r="T1640" s="56"/>
      <c r="U1640" s="56"/>
      <c r="V1640" s="56"/>
      <c r="W1640" s="56"/>
      <c r="X1640" s="56"/>
      <c r="Y1640" s="56"/>
      <c r="Z1640" s="56"/>
      <c r="AA1640" s="56"/>
      <c r="AB1640" s="56"/>
      <c r="AC1640" s="56"/>
      <c r="AD1640" s="56"/>
      <c r="AE1640" s="56"/>
      <c r="AF1640" s="56"/>
      <c r="AG1640" s="56"/>
      <c r="AH1640" s="56"/>
      <c r="AI1640" s="56"/>
      <c r="AJ1640" s="56"/>
      <c r="AK1640" s="56"/>
      <c r="AL1640" s="56"/>
      <c r="AM1640" s="56"/>
      <c r="AN1640" s="56"/>
      <c r="AO1640" s="56"/>
      <c r="AP1640" s="56"/>
      <c r="AQ1640" s="56"/>
      <c r="AR1640" s="56"/>
      <c r="AS1640" s="56"/>
      <c r="AT1640" s="56"/>
      <c r="AU1640" s="56"/>
      <c r="AV1640" s="56"/>
      <c r="AW1640" s="56"/>
      <c r="AX1640" s="56"/>
      <c r="AY1640" s="56"/>
      <c r="AZ1640" s="56"/>
      <c r="BA1640" s="56"/>
      <c r="BB1640" s="56"/>
      <c r="BC1640" s="56"/>
      <c r="BD1640" s="56"/>
      <c r="BE1640" s="56"/>
      <c r="BF1640" s="56"/>
      <c r="BG1640" s="56"/>
      <c r="BH1640" s="56"/>
      <c r="BI1640" s="56"/>
      <c r="BJ1640" s="56"/>
      <c r="BK1640" s="56"/>
      <c r="BL1640" s="56"/>
      <c r="BM1640" s="56"/>
      <c r="BN1640" s="56"/>
      <c r="BO1640" s="56"/>
      <c r="BP1640" s="56"/>
      <c r="BQ1640" s="56"/>
      <c r="BR1640" s="56"/>
      <c r="BS1640" s="56"/>
      <c r="BT1640" s="56"/>
      <c r="BU1640" s="56"/>
      <c r="BV1640" s="56"/>
      <c r="BW1640" s="56"/>
      <c r="BX1640" s="56"/>
      <c r="BY1640" s="56"/>
      <c r="BZ1640" s="56"/>
      <c r="CA1640" s="56"/>
      <c r="CB1640" s="56"/>
      <c r="CC1640" s="56"/>
      <c r="CD1640" s="56"/>
      <c r="CE1640" s="56"/>
      <c r="CF1640" s="56"/>
      <c r="CG1640" s="56"/>
      <c r="CH1640" s="56"/>
      <c r="CI1640" s="56"/>
      <c r="CJ1640" s="56"/>
      <c r="CK1640" s="56"/>
      <c r="CL1640" s="56"/>
      <c r="CM1640" s="56"/>
      <c r="CN1640" s="56"/>
      <c r="CO1640" s="56"/>
      <c r="CP1640" s="56"/>
      <c r="CQ1640" s="56"/>
      <c r="CR1640" s="56"/>
      <c r="CS1640" s="56"/>
      <c r="CT1640" s="56"/>
      <c r="CU1640" s="56"/>
      <c r="CV1640" s="56"/>
      <c r="CW1640" s="56"/>
      <c r="CX1640" s="56"/>
      <c r="CY1640" s="56"/>
      <c r="CZ1640" s="56"/>
      <c r="DA1640" s="56"/>
      <c r="DB1640" s="56"/>
      <c r="DC1640" s="56"/>
      <c r="DD1640" s="56"/>
      <c r="DE1640" s="56"/>
      <c r="DF1640" s="56"/>
      <c r="DG1640" s="56"/>
      <c r="DH1640" s="56"/>
      <c r="DI1640" s="56"/>
      <c r="DJ1640" s="56"/>
      <c r="DK1640" s="56"/>
      <c r="DL1640" s="56"/>
      <c r="DM1640" s="56"/>
      <c r="DN1640" s="56"/>
      <c r="DO1640" s="56"/>
      <c r="DP1640" s="56"/>
      <c r="DQ1640" s="56"/>
      <c r="DR1640" s="56"/>
      <c r="DS1640" s="56"/>
      <c r="DT1640" s="56"/>
      <c r="DU1640" s="56"/>
      <c r="DV1640" s="56"/>
      <c r="DW1640" s="56"/>
      <c r="DX1640" s="56"/>
      <c r="DY1640" s="56"/>
      <c r="DZ1640" s="56"/>
      <c r="EA1640" s="56"/>
      <c r="EB1640" s="56"/>
      <c r="EC1640" s="56"/>
      <c r="ED1640" s="56"/>
      <c r="EE1640" s="56"/>
      <c r="EF1640" s="56"/>
      <c r="EG1640" s="56"/>
      <c r="EH1640" s="56"/>
      <c r="EI1640" s="56"/>
      <c r="EJ1640" s="56"/>
      <c r="EK1640" s="56"/>
      <c r="EL1640" s="56"/>
      <c r="EM1640" s="56"/>
      <c r="EN1640" s="56"/>
      <c r="EO1640" s="56"/>
      <c r="EP1640" s="56"/>
      <c r="EQ1640" s="56"/>
      <c r="ER1640" s="56"/>
      <c r="ES1640" s="56"/>
      <c r="ET1640" s="56"/>
      <c r="EU1640" s="56"/>
      <c r="EV1640" s="56"/>
      <c r="EW1640" s="56"/>
      <c r="EX1640" s="56"/>
      <c r="EY1640" s="56"/>
      <c r="EZ1640" s="56"/>
      <c r="FA1640" s="56"/>
      <c r="FB1640" s="56"/>
      <c r="FC1640" s="56"/>
      <c r="FD1640" s="56"/>
      <c r="FE1640" s="56"/>
      <c r="FF1640" s="56"/>
      <c r="FG1640" s="56"/>
      <c r="FH1640" s="56"/>
      <c r="FI1640" s="56"/>
      <c r="FJ1640" s="56"/>
      <c r="FK1640" s="56"/>
      <c r="FL1640" s="56"/>
      <c r="FM1640" s="56"/>
      <c r="FN1640" s="56"/>
      <c r="FO1640" s="56"/>
      <c r="FP1640" s="56"/>
      <c r="FQ1640" s="56"/>
      <c r="FR1640" s="56"/>
      <c r="FS1640" s="56"/>
      <c r="FT1640" s="56"/>
      <c r="FU1640" s="56"/>
      <c r="FV1640" s="56"/>
      <c r="FW1640" s="56"/>
      <c r="FX1640" s="56"/>
      <c r="FY1640" s="56"/>
      <c r="FZ1640" s="56"/>
      <c r="GA1640" s="56"/>
      <c r="GB1640" s="56"/>
      <c r="GC1640" s="56"/>
      <c r="GD1640" s="56"/>
      <c r="GE1640" s="56"/>
      <c r="GF1640" s="56"/>
    </row>
    <row r="1641" spans="1:19" s="47" customFormat="1" ht="15" customHeight="1">
      <c r="A1641" s="50"/>
      <c r="B1641" s="93" t="s">
        <v>669</v>
      </c>
      <c r="C1641" s="94"/>
      <c r="D1641" s="60"/>
      <c r="E1641" s="60"/>
      <c r="F1641" s="60"/>
      <c r="G1641" s="60"/>
      <c r="H1641" s="60"/>
      <c r="I1641" s="60"/>
      <c r="J1641" s="60"/>
      <c r="K1641" s="60"/>
      <c r="L1641" s="60">
        <f>SUM(L1642:L1643)</f>
        <v>3</v>
      </c>
      <c r="M1641" s="60">
        <f>SUM(M1642:M1643)</f>
        <v>3</v>
      </c>
      <c r="N1641" s="60">
        <f>SUM(N1642:N1643)</f>
        <v>3</v>
      </c>
      <c r="O1641" s="60">
        <f>SUM(O1642:O1643)</f>
        <v>3</v>
      </c>
      <c r="P1641" s="60">
        <f>SUM(P1642:P1643)</f>
        <v>3</v>
      </c>
      <c r="Q1641" s="95"/>
      <c r="R1641" s="95"/>
      <c r="S1641" s="96"/>
    </row>
    <row r="1642" spans="1:19" s="48" customFormat="1" ht="15" customHeight="1">
      <c r="A1642" s="12"/>
      <c r="B1642" s="97" t="s">
        <v>560</v>
      </c>
      <c r="C1642" s="15" t="s">
        <v>1319</v>
      </c>
      <c r="D1642" s="40"/>
      <c r="E1642" s="40"/>
      <c r="F1642" s="40"/>
      <c r="G1642" s="40">
        <v>2</v>
      </c>
      <c r="H1642" s="40">
        <v>2</v>
      </c>
      <c r="I1642" s="40">
        <v>2</v>
      </c>
      <c r="J1642" s="40">
        <v>2</v>
      </c>
      <c r="K1642" s="40">
        <v>2</v>
      </c>
      <c r="L1642" s="40">
        <v>1</v>
      </c>
      <c r="M1642" s="40">
        <v>1</v>
      </c>
      <c r="N1642" s="40">
        <v>1</v>
      </c>
      <c r="O1642" s="40">
        <v>1</v>
      </c>
      <c r="P1642" s="40">
        <v>1</v>
      </c>
      <c r="Q1642" s="68"/>
      <c r="R1642" s="68"/>
      <c r="S1642" s="68"/>
    </row>
    <row r="1643" spans="1:19" s="48" customFormat="1" ht="15" customHeight="1">
      <c r="A1643" s="12"/>
      <c r="B1643" s="97" t="s">
        <v>460</v>
      </c>
      <c r="C1643" s="29" t="s">
        <v>544</v>
      </c>
      <c r="D1643" s="40"/>
      <c r="E1643" s="40"/>
      <c r="F1643" s="40"/>
      <c r="G1643" s="40">
        <v>12</v>
      </c>
      <c r="H1643" s="40">
        <v>12</v>
      </c>
      <c r="I1643" s="40">
        <v>12</v>
      </c>
      <c r="J1643" s="40">
        <v>12</v>
      </c>
      <c r="K1643" s="40">
        <v>12</v>
      </c>
      <c r="L1643" s="40">
        <v>2</v>
      </c>
      <c r="M1643" s="40">
        <v>2</v>
      </c>
      <c r="N1643" s="40">
        <v>2</v>
      </c>
      <c r="O1643" s="40">
        <v>2</v>
      </c>
      <c r="P1643" s="40">
        <v>2</v>
      </c>
      <c r="Q1643" s="68"/>
      <c r="R1643" s="68"/>
      <c r="S1643" s="68"/>
    </row>
    <row r="1644" spans="1:188" s="57" customFormat="1" ht="15" customHeight="1">
      <c r="A1644" s="13">
        <v>105</v>
      </c>
      <c r="B1644" s="92" t="s">
        <v>402</v>
      </c>
      <c r="C1644" s="45"/>
      <c r="D1644" s="44">
        <v>44</v>
      </c>
      <c r="E1644" s="44">
        <v>9</v>
      </c>
      <c r="F1644" s="44"/>
      <c r="G1644" s="44">
        <v>44</v>
      </c>
      <c r="H1644" s="44">
        <v>44</v>
      </c>
      <c r="I1644" s="44">
        <v>44</v>
      </c>
      <c r="J1644" s="44">
        <v>44</v>
      </c>
      <c r="K1644" s="44">
        <v>44</v>
      </c>
      <c r="L1644" s="44">
        <v>1</v>
      </c>
      <c r="M1644" s="44">
        <f>SUM(M1645,M1650)</f>
        <v>5</v>
      </c>
      <c r="N1644" s="44">
        <f>SUM(N1645,N1650)</f>
        <v>3</v>
      </c>
      <c r="O1644" s="44">
        <v>1</v>
      </c>
      <c r="P1644" s="44">
        <v>1</v>
      </c>
      <c r="Q1644" s="54" t="s">
        <v>648</v>
      </c>
      <c r="R1644" s="54">
        <v>16</v>
      </c>
      <c r="S1644" s="55" t="s">
        <v>1291</v>
      </c>
      <c r="T1644" s="56"/>
      <c r="U1644" s="56"/>
      <c r="V1644" s="56"/>
      <c r="W1644" s="56"/>
      <c r="X1644" s="56"/>
      <c r="Y1644" s="56"/>
      <c r="Z1644" s="56"/>
      <c r="AA1644" s="56"/>
      <c r="AB1644" s="56"/>
      <c r="AC1644" s="56"/>
      <c r="AD1644" s="56"/>
      <c r="AE1644" s="56"/>
      <c r="AF1644" s="56"/>
      <c r="AG1644" s="56"/>
      <c r="AH1644" s="56"/>
      <c r="AI1644" s="56"/>
      <c r="AJ1644" s="56"/>
      <c r="AK1644" s="56"/>
      <c r="AL1644" s="56"/>
      <c r="AM1644" s="56"/>
      <c r="AN1644" s="56"/>
      <c r="AO1644" s="56"/>
      <c r="AP1644" s="56"/>
      <c r="AQ1644" s="56"/>
      <c r="AR1644" s="56"/>
      <c r="AS1644" s="56"/>
      <c r="AT1644" s="56"/>
      <c r="AU1644" s="56"/>
      <c r="AV1644" s="56"/>
      <c r="AW1644" s="56"/>
      <c r="AX1644" s="56"/>
      <c r="AY1644" s="56"/>
      <c r="AZ1644" s="56"/>
      <c r="BA1644" s="56"/>
      <c r="BB1644" s="56"/>
      <c r="BC1644" s="56"/>
      <c r="BD1644" s="56"/>
      <c r="BE1644" s="56"/>
      <c r="BF1644" s="56"/>
      <c r="BG1644" s="56"/>
      <c r="BH1644" s="56"/>
      <c r="BI1644" s="56"/>
      <c r="BJ1644" s="56"/>
      <c r="BK1644" s="56"/>
      <c r="BL1644" s="56"/>
      <c r="BM1644" s="56"/>
      <c r="BN1644" s="56"/>
      <c r="BO1644" s="56"/>
      <c r="BP1644" s="56"/>
      <c r="BQ1644" s="56"/>
      <c r="BR1644" s="56"/>
      <c r="BS1644" s="56"/>
      <c r="BT1644" s="56"/>
      <c r="BU1644" s="56"/>
      <c r="BV1644" s="56"/>
      <c r="BW1644" s="56"/>
      <c r="BX1644" s="56"/>
      <c r="BY1644" s="56"/>
      <c r="BZ1644" s="56"/>
      <c r="CA1644" s="56"/>
      <c r="CB1644" s="56"/>
      <c r="CC1644" s="56"/>
      <c r="CD1644" s="56"/>
      <c r="CE1644" s="56"/>
      <c r="CF1644" s="56"/>
      <c r="CG1644" s="56"/>
      <c r="CH1644" s="56"/>
      <c r="CI1644" s="56"/>
      <c r="CJ1644" s="56"/>
      <c r="CK1644" s="56"/>
      <c r="CL1644" s="56"/>
      <c r="CM1644" s="56"/>
      <c r="CN1644" s="56"/>
      <c r="CO1644" s="56"/>
      <c r="CP1644" s="56"/>
      <c r="CQ1644" s="56"/>
      <c r="CR1644" s="56"/>
      <c r="CS1644" s="56"/>
      <c r="CT1644" s="56"/>
      <c r="CU1644" s="56"/>
      <c r="CV1644" s="56"/>
      <c r="CW1644" s="56"/>
      <c r="CX1644" s="56"/>
      <c r="CY1644" s="56"/>
      <c r="CZ1644" s="56"/>
      <c r="DA1644" s="56"/>
      <c r="DB1644" s="56"/>
      <c r="DC1644" s="56"/>
      <c r="DD1644" s="56"/>
      <c r="DE1644" s="56"/>
      <c r="DF1644" s="56"/>
      <c r="DG1644" s="56"/>
      <c r="DH1644" s="56"/>
      <c r="DI1644" s="56"/>
      <c r="DJ1644" s="56"/>
      <c r="DK1644" s="56"/>
      <c r="DL1644" s="56"/>
      <c r="DM1644" s="56"/>
      <c r="DN1644" s="56"/>
      <c r="DO1644" s="56"/>
      <c r="DP1644" s="56"/>
      <c r="DQ1644" s="56"/>
      <c r="DR1644" s="56"/>
      <c r="DS1644" s="56"/>
      <c r="DT1644" s="56"/>
      <c r="DU1644" s="56"/>
      <c r="DV1644" s="56"/>
      <c r="DW1644" s="56"/>
      <c r="DX1644" s="56"/>
      <c r="DY1644" s="56"/>
      <c r="DZ1644" s="56"/>
      <c r="EA1644" s="56"/>
      <c r="EB1644" s="56"/>
      <c r="EC1644" s="56"/>
      <c r="ED1644" s="56"/>
      <c r="EE1644" s="56"/>
      <c r="EF1644" s="56"/>
      <c r="EG1644" s="56"/>
      <c r="EH1644" s="56"/>
      <c r="EI1644" s="56"/>
      <c r="EJ1644" s="56"/>
      <c r="EK1644" s="56"/>
      <c r="EL1644" s="56"/>
      <c r="EM1644" s="56"/>
      <c r="EN1644" s="56"/>
      <c r="EO1644" s="56"/>
      <c r="EP1644" s="56"/>
      <c r="EQ1644" s="56"/>
      <c r="ER1644" s="56"/>
      <c r="ES1644" s="56"/>
      <c r="ET1644" s="56"/>
      <c r="EU1644" s="56"/>
      <c r="EV1644" s="56"/>
      <c r="EW1644" s="56"/>
      <c r="EX1644" s="56"/>
      <c r="EY1644" s="56"/>
      <c r="EZ1644" s="56"/>
      <c r="FA1644" s="56"/>
      <c r="FB1644" s="56"/>
      <c r="FC1644" s="56"/>
      <c r="FD1644" s="56"/>
      <c r="FE1644" s="56"/>
      <c r="FF1644" s="56"/>
      <c r="FG1644" s="56"/>
      <c r="FH1644" s="56"/>
      <c r="FI1644" s="56"/>
      <c r="FJ1644" s="56"/>
      <c r="FK1644" s="56"/>
      <c r="FL1644" s="56"/>
      <c r="FM1644" s="56"/>
      <c r="FN1644" s="56"/>
      <c r="FO1644" s="56"/>
      <c r="FP1644" s="56"/>
      <c r="FQ1644" s="56"/>
      <c r="FR1644" s="56"/>
      <c r="FS1644" s="56"/>
      <c r="FT1644" s="56"/>
      <c r="FU1644" s="56"/>
      <c r="FV1644" s="56"/>
      <c r="FW1644" s="56"/>
      <c r="FX1644" s="56"/>
      <c r="FY1644" s="56"/>
      <c r="FZ1644" s="56"/>
      <c r="GA1644" s="56"/>
      <c r="GB1644" s="56"/>
      <c r="GC1644" s="56"/>
      <c r="GD1644" s="56"/>
      <c r="GE1644" s="56"/>
      <c r="GF1644" s="56"/>
    </row>
    <row r="1645" spans="1:19" s="47" customFormat="1" ht="15" customHeight="1">
      <c r="A1645" s="50"/>
      <c r="B1645" s="93" t="s">
        <v>669</v>
      </c>
      <c r="C1645" s="94"/>
      <c r="D1645" s="60"/>
      <c r="E1645" s="60"/>
      <c r="F1645" s="60"/>
      <c r="G1645" s="60"/>
      <c r="H1645" s="60"/>
      <c r="I1645" s="60"/>
      <c r="J1645" s="60"/>
      <c r="K1645" s="60"/>
      <c r="L1645" s="60" t="s">
        <v>556</v>
      </c>
      <c r="M1645" s="60">
        <v>3</v>
      </c>
      <c r="N1645" s="60">
        <v>2</v>
      </c>
      <c r="O1645" s="60" t="s">
        <v>556</v>
      </c>
      <c r="P1645" s="60" t="s">
        <v>556</v>
      </c>
      <c r="Q1645" s="95"/>
      <c r="R1645" s="95"/>
      <c r="S1645" s="96"/>
    </row>
    <row r="1646" spans="1:19" s="48" customFormat="1" ht="15" customHeight="1">
      <c r="A1646" s="12"/>
      <c r="B1646" s="97" t="s">
        <v>560</v>
      </c>
      <c r="C1646" s="15" t="s">
        <v>1319</v>
      </c>
      <c r="D1646" s="40"/>
      <c r="E1646" s="40"/>
      <c r="F1646" s="40"/>
      <c r="G1646" s="40">
        <v>2</v>
      </c>
      <c r="H1646" s="40">
        <v>2</v>
      </c>
      <c r="I1646" s="40">
        <v>2</v>
      </c>
      <c r="J1646" s="40">
        <v>2</v>
      </c>
      <c r="K1646" s="40">
        <v>2</v>
      </c>
      <c r="L1646" s="40" t="s">
        <v>556</v>
      </c>
      <c r="M1646" s="40">
        <v>1</v>
      </c>
      <c r="N1646" s="40" t="s">
        <v>556</v>
      </c>
      <c r="O1646" s="40" t="s">
        <v>556</v>
      </c>
      <c r="P1646" s="40" t="s">
        <v>556</v>
      </c>
      <c r="Q1646" s="68"/>
      <c r="R1646" s="68"/>
      <c r="S1646" s="68"/>
    </row>
    <row r="1647" spans="1:19" s="48" customFormat="1" ht="15" customHeight="1">
      <c r="A1647" s="12"/>
      <c r="B1647" s="97" t="s">
        <v>1320</v>
      </c>
      <c r="C1647" s="15" t="s">
        <v>1322</v>
      </c>
      <c r="D1647" s="40"/>
      <c r="E1647" s="40"/>
      <c r="F1647" s="40"/>
      <c r="G1647" s="40">
        <v>1</v>
      </c>
      <c r="H1647" s="40">
        <v>1</v>
      </c>
      <c r="I1647" s="40">
        <v>1</v>
      </c>
      <c r="J1647" s="40">
        <v>1</v>
      </c>
      <c r="K1647" s="40">
        <v>1</v>
      </c>
      <c r="L1647" s="40" t="s">
        <v>556</v>
      </c>
      <c r="M1647" s="40">
        <v>1</v>
      </c>
      <c r="N1647" s="40" t="s">
        <v>556</v>
      </c>
      <c r="O1647" s="40" t="s">
        <v>556</v>
      </c>
      <c r="P1647" s="40" t="s">
        <v>556</v>
      </c>
      <c r="Q1647" s="68"/>
      <c r="R1647" s="68"/>
      <c r="S1647" s="68"/>
    </row>
    <row r="1648" spans="1:19" s="48" customFormat="1" ht="32.25" customHeight="1">
      <c r="A1648" s="12"/>
      <c r="B1648" s="97" t="s">
        <v>526</v>
      </c>
      <c r="C1648" s="15" t="s">
        <v>525</v>
      </c>
      <c r="D1648" s="40"/>
      <c r="E1648" s="40"/>
      <c r="F1648" s="40"/>
      <c r="G1648" s="40">
        <v>17</v>
      </c>
      <c r="H1648" s="40">
        <v>17</v>
      </c>
      <c r="I1648" s="40">
        <v>17</v>
      </c>
      <c r="J1648" s="40">
        <v>17</v>
      </c>
      <c r="K1648" s="40">
        <v>17</v>
      </c>
      <c r="L1648" s="40" t="s">
        <v>556</v>
      </c>
      <c r="M1648" s="40">
        <v>1</v>
      </c>
      <c r="N1648" s="40">
        <v>1</v>
      </c>
      <c r="O1648" s="40" t="s">
        <v>556</v>
      </c>
      <c r="P1648" s="40" t="s">
        <v>556</v>
      </c>
      <c r="Q1648" s="68"/>
      <c r="R1648" s="68"/>
      <c r="S1648" s="68"/>
    </row>
    <row r="1649" spans="1:19" s="48" customFormat="1" ht="18" customHeight="1">
      <c r="A1649" s="12"/>
      <c r="B1649" s="97" t="s">
        <v>1343</v>
      </c>
      <c r="C1649" s="15" t="s">
        <v>1344</v>
      </c>
      <c r="D1649" s="40"/>
      <c r="E1649" s="40"/>
      <c r="F1649" s="40"/>
      <c r="G1649" s="40">
        <v>1</v>
      </c>
      <c r="H1649" s="40">
        <v>1</v>
      </c>
      <c r="I1649" s="40">
        <v>1</v>
      </c>
      <c r="J1649" s="40">
        <v>1</v>
      </c>
      <c r="K1649" s="40">
        <v>1</v>
      </c>
      <c r="L1649" s="40" t="s">
        <v>556</v>
      </c>
      <c r="M1649" s="40" t="s">
        <v>556</v>
      </c>
      <c r="N1649" s="40">
        <v>1</v>
      </c>
      <c r="O1649" s="40" t="s">
        <v>556</v>
      </c>
      <c r="P1649" s="40" t="s">
        <v>556</v>
      </c>
      <c r="Q1649" s="68"/>
      <c r="R1649" s="68"/>
      <c r="S1649" s="68"/>
    </row>
    <row r="1650" spans="1:19" s="47" customFormat="1" ht="16.5" customHeight="1">
      <c r="A1650" s="50"/>
      <c r="B1650" s="93" t="s">
        <v>801</v>
      </c>
      <c r="C1650" s="94"/>
      <c r="D1650" s="60"/>
      <c r="E1650" s="60"/>
      <c r="F1650" s="60"/>
      <c r="G1650" s="60"/>
      <c r="H1650" s="60"/>
      <c r="I1650" s="60"/>
      <c r="J1650" s="60"/>
      <c r="K1650" s="60"/>
      <c r="L1650" s="60">
        <v>1</v>
      </c>
      <c r="M1650" s="60">
        <v>2</v>
      </c>
      <c r="N1650" s="60">
        <v>1</v>
      </c>
      <c r="O1650" s="60">
        <v>1</v>
      </c>
      <c r="P1650" s="60">
        <v>1</v>
      </c>
      <c r="Q1650" s="95"/>
      <c r="R1650" s="95"/>
      <c r="S1650" s="96"/>
    </row>
    <row r="1651" spans="1:19" s="48" customFormat="1" ht="18.75" customHeight="1">
      <c r="A1651" s="12"/>
      <c r="B1651" s="97" t="s">
        <v>38</v>
      </c>
      <c r="C1651" s="66" t="s">
        <v>457</v>
      </c>
      <c r="D1651" s="40"/>
      <c r="E1651" s="40"/>
      <c r="F1651" s="40"/>
      <c r="G1651" s="40">
        <v>1</v>
      </c>
      <c r="H1651" s="40">
        <v>1</v>
      </c>
      <c r="I1651" s="40">
        <v>1</v>
      </c>
      <c r="J1651" s="40">
        <v>1</v>
      </c>
      <c r="K1651" s="40">
        <v>1</v>
      </c>
      <c r="L1651" s="40" t="s">
        <v>556</v>
      </c>
      <c r="M1651" s="40">
        <v>1</v>
      </c>
      <c r="N1651" s="40" t="s">
        <v>556</v>
      </c>
      <c r="O1651" s="40" t="s">
        <v>556</v>
      </c>
      <c r="P1651" s="40" t="s">
        <v>556</v>
      </c>
      <c r="Q1651" s="68"/>
      <c r="R1651" s="68"/>
      <c r="S1651" s="68"/>
    </row>
    <row r="1652" spans="1:19" s="48" customFormat="1" ht="15.75" customHeight="1">
      <c r="A1652" s="12"/>
      <c r="B1652" s="97" t="s">
        <v>884</v>
      </c>
      <c r="C1652" s="66" t="s">
        <v>885</v>
      </c>
      <c r="D1652" s="40"/>
      <c r="E1652" s="40"/>
      <c r="F1652" s="40"/>
      <c r="G1652" s="40">
        <v>1</v>
      </c>
      <c r="H1652" s="40">
        <v>1</v>
      </c>
      <c r="I1652" s="40">
        <v>1</v>
      </c>
      <c r="J1652" s="40">
        <v>1</v>
      </c>
      <c r="K1652" s="40">
        <v>1</v>
      </c>
      <c r="L1652" s="40">
        <v>1</v>
      </c>
      <c r="M1652" s="40">
        <v>1</v>
      </c>
      <c r="N1652" s="40">
        <v>1</v>
      </c>
      <c r="O1652" s="40">
        <v>1</v>
      </c>
      <c r="P1652" s="40">
        <v>1</v>
      </c>
      <c r="Q1652" s="68"/>
      <c r="R1652" s="68"/>
      <c r="S1652" s="68"/>
    </row>
    <row r="1653" spans="1:188" s="57" customFormat="1" ht="15.75" customHeight="1">
      <c r="A1653" s="13">
        <v>106</v>
      </c>
      <c r="B1653" s="92" t="s">
        <v>1350</v>
      </c>
      <c r="C1653" s="45"/>
      <c r="D1653" s="44">
        <v>66</v>
      </c>
      <c r="E1653" s="44">
        <v>19</v>
      </c>
      <c r="F1653" s="44"/>
      <c r="G1653" s="44">
        <v>77</v>
      </c>
      <c r="H1653" s="44">
        <v>77</v>
      </c>
      <c r="I1653" s="44">
        <v>77</v>
      </c>
      <c r="J1653" s="44">
        <v>77</v>
      </c>
      <c r="K1653" s="44">
        <v>77</v>
      </c>
      <c r="L1653" s="44">
        <f>SUM(L1654,L1659,L1661)</f>
        <v>2</v>
      </c>
      <c r="M1653" s="44">
        <f>SUM(M1654,M1659,M1661)</f>
        <v>6</v>
      </c>
      <c r="N1653" s="44">
        <f>SUM(N1654,N1659,N1661)</f>
        <v>2</v>
      </c>
      <c r="O1653" s="44">
        <f>SUM(O1654,O1659,O1661)</f>
        <v>2</v>
      </c>
      <c r="P1653" s="44">
        <f>SUM(P1654,P1659,P1661)</f>
        <v>1</v>
      </c>
      <c r="Q1653" s="54" t="s">
        <v>648</v>
      </c>
      <c r="R1653" s="54">
        <v>16</v>
      </c>
      <c r="S1653" s="55" t="s">
        <v>1291</v>
      </c>
      <c r="T1653" s="56"/>
      <c r="U1653" s="56"/>
      <c r="V1653" s="56"/>
      <c r="W1653" s="56"/>
      <c r="X1653" s="56"/>
      <c r="Y1653" s="56"/>
      <c r="Z1653" s="56"/>
      <c r="AA1653" s="56"/>
      <c r="AB1653" s="56"/>
      <c r="AC1653" s="56"/>
      <c r="AD1653" s="56"/>
      <c r="AE1653" s="56"/>
      <c r="AF1653" s="56"/>
      <c r="AG1653" s="56"/>
      <c r="AH1653" s="56"/>
      <c r="AI1653" s="56"/>
      <c r="AJ1653" s="56"/>
      <c r="AK1653" s="56"/>
      <c r="AL1653" s="56"/>
      <c r="AM1653" s="56"/>
      <c r="AN1653" s="56"/>
      <c r="AO1653" s="56"/>
      <c r="AP1653" s="56"/>
      <c r="AQ1653" s="56"/>
      <c r="AR1653" s="56"/>
      <c r="AS1653" s="56"/>
      <c r="AT1653" s="56"/>
      <c r="AU1653" s="56"/>
      <c r="AV1653" s="56"/>
      <c r="AW1653" s="56"/>
      <c r="AX1653" s="56"/>
      <c r="AY1653" s="56"/>
      <c r="AZ1653" s="56"/>
      <c r="BA1653" s="56"/>
      <c r="BB1653" s="56"/>
      <c r="BC1653" s="56"/>
      <c r="BD1653" s="56"/>
      <c r="BE1653" s="56"/>
      <c r="BF1653" s="56"/>
      <c r="BG1653" s="56"/>
      <c r="BH1653" s="56"/>
      <c r="BI1653" s="56"/>
      <c r="BJ1653" s="56"/>
      <c r="BK1653" s="56"/>
      <c r="BL1653" s="56"/>
      <c r="BM1653" s="56"/>
      <c r="BN1653" s="56"/>
      <c r="BO1653" s="56"/>
      <c r="BP1653" s="56"/>
      <c r="BQ1653" s="56"/>
      <c r="BR1653" s="56"/>
      <c r="BS1653" s="56"/>
      <c r="BT1653" s="56"/>
      <c r="BU1653" s="56"/>
      <c r="BV1653" s="56"/>
      <c r="BW1653" s="56"/>
      <c r="BX1653" s="56"/>
      <c r="BY1653" s="56"/>
      <c r="BZ1653" s="56"/>
      <c r="CA1653" s="56"/>
      <c r="CB1653" s="56"/>
      <c r="CC1653" s="56"/>
      <c r="CD1653" s="56"/>
      <c r="CE1653" s="56"/>
      <c r="CF1653" s="56"/>
      <c r="CG1653" s="56"/>
      <c r="CH1653" s="56"/>
      <c r="CI1653" s="56"/>
      <c r="CJ1653" s="56"/>
      <c r="CK1653" s="56"/>
      <c r="CL1653" s="56"/>
      <c r="CM1653" s="56"/>
      <c r="CN1653" s="56"/>
      <c r="CO1653" s="56"/>
      <c r="CP1653" s="56"/>
      <c r="CQ1653" s="56"/>
      <c r="CR1653" s="56"/>
      <c r="CS1653" s="56"/>
      <c r="CT1653" s="56"/>
      <c r="CU1653" s="56"/>
      <c r="CV1653" s="56"/>
      <c r="CW1653" s="56"/>
      <c r="CX1653" s="56"/>
      <c r="CY1653" s="56"/>
      <c r="CZ1653" s="56"/>
      <c r="DA1653" s="56"/>
      <c r="DB1653" s="56"/>
      <c r="DC1653" s="56"/>
      <c r="DD1653" s="56"/>
      <c r="DE1653" s="56"/>
      <c r="DF1653" s="56"/>
      <c r="DG1653" s="56"/>
      <c r="DH1653" s="56"/>
      <c r="DI1653" s="56"/>
      <c r="DJ1653" s="56"/>
      <c r="DK1653" s="56"/>
      <c r="DL1653" s="56"/>
      <c r="DM1653" s="56"/>
      <c r="DN1653" s="56"/>
      <c r="DO1653" s="56"/>
      <c r="DP1653" s="56"/>
      <c r="DQ1653" s="56"/>
      <c r="DR1653" s="56"/>
      <c r="DS1653" s="56"/>
      <c r="DT1653" s="56"/>
      <c r="DU1653" s="56"/>
      <c r="DV1653" s="56"/>
      <c r="DW1653" s="56"/>
      <c r="DX1653" s="56"/>
      <c r="DY1653" s="56"/>
      <c r="DZ1653" s="56"/>
      <c r="EA1653" s="56"/>
      <c r="EB1653" s="56"/>
      <c r="EC1653" s="56"/>
      <c r="ED1653" s="56"/>
      <c r="EE1653" s="56"/>
      <c r="EF1653" s="56"/>
      <c r="EG1653" s="56"/>
      <c r="EH1653" s="56"/>
      <c r="EI1653" s="56"/>
      <c r="EJ1653" s="56"/>
      <c r="EK1653" s="56"/>
      <c r="EL1653" s="56"/>
      <c r="EM1653" s="56"/>
      <c r="EN1653" s="56"/>
      <c r="EO1653" s="56"/>
      <c r="EP1653" s="56"/>
      <c r="EQ1653" s="56"/>
      <c r="ER1653" s="56"/>
      <c r="ES1653" s="56"/>
      <c r="ET1653" s="56"/>
      <c r="EU1653" s="56"/>
      <c r="EV1653" s="56"/>
      <c r="EW1653" s="56"/>
      <c r="EX1653" s="56"/>
      <c r="EY1653" s="56"/>
      <c r="EZ1653" s="56"/>
      <c r="FA1653" s="56"/>
      <c r="FB1653" s="56"/>
      <c r="FC1653" s="56"/>
      <c r="FD1653" s="56"/>
      <c r="FE1653" s="56"/>
      <c r="FF1653" s="56"/>
      <c r="FG1653" s="56"/>
      <c r="FH1653" s="56"/>
      <c r="FI1653" s="56"/>
      <c r="FJ1653" s="56"/>
      <c r="FK1653" s="56"/>
      <c r="FL1653" s="56"/>
      <c r="FM1653" s="56"/>
      <c r="FN1653" s="56"/>
      <c r="FO1653" s="56"/>
      <c r="FP1653" s="56"/>
      <c r="FQ1653" s="56"/>
      <c r="FR1653" s="56"/>
      <c r="FS1653" s="56"/>
      <c r="FT1653" s="56"/>
      <c r="FU1653" s="56"/>
      <c r="FV1653" s="56"/>
      <c r="FW1653" s="56"/>
      <c r="FX1653" s="56"/>
      <c r="FY1653" s="56"/>
      <c r="FZ1653" s="56"/>
      <c r="GA1653" s="56"/>
      <c r="GB1653" s="56"/>
      <c r="GC1653" s="56"/>
      <c r="GD1653" s="56"/>
      <c r="GE1653" s="56"/>
      <c r="GF1653" s="56"/>
    </row>
    <row r="1654" spans="1:19" s="47" customFormat="1" ht="15.75" customHeight="1">
      <c r="A1654" s="50"/>
      <c r="B1654" s="93" t="s">
        <v>669</v>
      </c>
      <c r="C1654" s="94"/>
      <c r="D1654" s="60"/>
      <c r="E1654" s="60"/>
      <c r="F1654" s="60"/>
      <c r="G1654" s="60"/>
      <c r="H1654" s="60"/>
      <c r="I1654" s="60"/>
      <c r="J1654" s="60"/>
      <c r="K1654" s="60"/>
      <c r="L1654" s="60">
        <f>SUM(L1655:L1658)</f>
        <v>2</v>
      </c>
      <c r="M1654" s="60">
        <f>SUM(M1655:M1658)</f>
        <v>5</v>
      </c>
      <c r="N1654" s="60">
        <f>SUM(N1655:N1658)</f>
        <v>2</v>
      </c>
      <c r="O1654" s="60">
        <f>SUM(O1655:O1658)</f>
        <v>1</v>
      </c>
      <c r="P1654" s="60">
        <f>SUM(P1655:P1658)</f>
        <v>1</v>
      </c>
      <c r="Q1654" s="95"/>
      <c r="R1654" s="95"/>
      <c r="S1654" s="96"/>
    </row>
    <row r="1655" spans="1:19" s="48" customFormat="1" ht="15.75" customHeight="1">
      <c r="A1655" s="12"/>
      <c r="B1655" s="97" t="s">
        <v>1351</v>
      </c>
      <c r="C1655" s="15" t="s">
        <v>1352</v>
      </c>
      <c r="D1655" s="40"/>
      <c r="E1655" s="40"/>
      <c r="F1655" s="40"/>
      <c r="G1655" s="40">
        <v>14</v>
      </c>
      <c r="H1655" s="40">
        <v>14</v>
      </c>
      <c r="I1655" s="40">
        <v>14</v>
      </c>
      <c r="J1655" s="40">
        <v>14</v>
      </c>
      <c r="K1655" s="40">
        <v>14</v>
      </c>
      <c r="L1655" s="40">
        <v>1</v>
      </c>
      <c r="M1655" s="40">
        <v>2</v>
      </c>
      <c r="N1655" s="40">
        <v>2</v>
      </c>
      <c r="O1655" s="40">
        <v>1</v>
      </c>
      <c r="P1655" s="40">
        <v>1</v>
      </c>
      <c r="Q1655" s="68"/>
      <c r="R1655" s="68"/>
      <c r="S1655" s="68"/>
    </row>
    <row r="1656" spans="1:19" s="48" customFormat="1" ht="15.75" customHeight="1">
      <c r="A1656" s="12"/>
      <c r="B1656" s="97" t="s">
        <v>448</v>
      </c>
      <c r="C1656" s="15" t="s">
        <v>449</v>
      </c>
      <c r="D1656" s="40"/>
      <c r="E1656" s="40"/>
      <c r="F1656" s="40"/>
      <c r="G1656" s="40">
        <v>14</v>
      </c>
      <c r="H1656" s="40">
        <v>14</v>
      </c>
      <c r="I1656" s="40">
        <v>14</v>
      </c>
      <c r="J1656" s="40">
        <v>14</v>
      </c>
      <c r="K1656" s="40">
        <v>14</v>
      </c>
      <c r="L1656" s="40" t="s">
        <v>556</v>
      </c>
      <c r="M1656" s="40">
        <v>1</v>
      </c>
      <c r="N1656" s="40" t="s">
        <v>556</v>
      </c>
      <c r="O1656" s="40" t="s">
        <v>556</v>
      </c>
      <c r="P1656" s="40" t="s">
        <v>556</v>
      </c>
      <c r="Q1656" s="68"/>
      <c r="R1656" s="68"/>
      <c r="S1656" s="68"/>
    </row>
    <row r="1657" spans="1:19" s="48" customFormat="1" ht="15.75" customHeight="1">
      <c r="A1657" s="12"/>
      <c r="B1657" s="105" t="s">
        <v>790</v>
      </c>
      <c r="C1657" s="15" t="s">
        <v>791</v>
      </c>
      <c r="D1657" s="40"/>
      <c r="E1657" s="40"/>
      <c r="F1657" s="40"/>
      <c r="G1657" s="40">
        <v>1</v>
      </c>
      <c r="H1657" s="40">
        <v>1</v>
      </c>
      <c r="I1657" s="40">
        <v>1</v>
      </c>
      <c r="J1657" s="40">
        <v>1</v>
      </c>
      <c r="K1657" s="40">
        <v>1</v>
      </c>
      <c r="L1657" s="40" t="s">
        <v>556</v>
      </c>
      <c r="M1657" s="40">
        <v>1</v>
      </c>
      <c r="N1657" s="40" t="s">
        <v>556</v>
      </c>
      <c r="O1657" s="40" t="s">
        <v>556</v>
      </c>
      <c r="P1657" s="40" t="s">
        <v>556</v>
      </c>
      <c r="Q1657" s="68"/>
      <c r="R1657" s="68"/>
      <c r="S1657" s="68"/>
    </row>
    <row r="1658" spans="1:19" s="48" customFormat="1" ht="15.75" customHeight="1">
      <c r="A1658" s="12"/>
      <c r="B1658" s="97" t="s">
        <v>629</v>
      </c>
      <c r="C1658" s="15" t="s">
        <v>787</v>
      </c>
      <c r="D1658" s="40"/>
      <c r="E1658" s="40"/>
      <c r="F1658" s="40"/>
      <c r="G1658" s="40">
        <v>1</v>
      </c>
      <c r="H1658" s="40">
        <v>1</v>
      </c>
      <c r="I1658" s="40">
        <v>1</v>
      </c>
      <c r="J1658" s="40">
        <v>1</v>
      </c>
      <c r="K1658" s="40">
        <v>1</v>
      </c>
      <c r="L1658" s="40">
        <v>1</v>
      </c>
      <c r="M1658" s="40">
        <v>1</v>
      </c>
      <c r="N1658" s="40" t="s">
        <v>556</v>
      </c>
      <c r="O1658" s="40" t="s">
        <v>556</v>
      </c>
      <c r="P1658" s="40" t="s">
        <v>556</v>
      </c>
      <c r="Q1658" s="68"/>
      <c r="R1658" s="68"/>
      <c r="S1658" s="68"/>
    </row>
    <row r="1659" spans="1:19" s="47" customFormat="1" ht="15.75" customHeight="1">
      <c r="A1659" s="50"/>
      <c r="B1659" s="93" t="s">
        <v>1336</v>
      </c>
      <c r="C1659" s="94"/>
      <c r="D1659" s="60"/>
      <c r="E1659" s="60"/>
      <c r="F1659" s="60"/>
      <c r="G1659" s="60"/>
      <c r="H1659" s="60"/>
      <c r="I1659" s="60"/>
      <c r="J1659" s="60"/>
      <c r="K1659" s="60"/>
      <c r="L1659" s="60" t="str">
        <f>L1660</f>
        <v> -</v>
      </c>
      <c r="M1659" s="60" t="str">
        <f>M1660</f>
        <v> -</v>
      </c>
      <c r="N1659" s="60"/>
      <c r="O1659" s="60">
        <f>O1660</f>
        <v>1</v>
      </c>
      <c r="P1659" s="60" t="str">
        <f>P1660</f>
        <v> -</v>
      </c>
      <c r="Q1659" s="95"/>
      <c r="R1659" s="95"/>
      <c r="S1659" s="96"/>
    </row>
    <row r="1660" spans="1:19" s="48" customFormat="1" ht="15.75" customHeight="1">
      <c r="A1660" s="12"/>
      <c r="B1660" s="97" t="s">
        <v>561</v>
      </c>
      <c r="C1660" s="66" t="s">
        <v>804</v>
      </c>
      <c r="D1660" s="40"/>
      <c r="E1660" s="40"/>
      <c r="F1660" s="40"/>
      <c r="G1660" s="40">
        <v>1</v>
      </c>
      <c r="H1660" s="40">
        <v>1</v>
      </c>
      <c r="I1660" s="40">
        <v>1</v>
      </c>
      <c r="J1660" s="40">
        <v>1</v>
      </c>
      <c r="K1660" s="40">
        <v>1</v>
      </c>
      <c r="L1660" s="40" t="s">
        <v>556</v>
      </c>
      <c r="M1660" s="40" t="s">
        <v>556</v>
      </c>
      <c r="N1660" s="40" t="s">
        <v>556</v>
      </c>
      <c r="O1660" s="40">
        <v>1</v>
      </c>
      <c r="P1660" s="40" t="s">
        <v>556</v>
      </c>
      <c r="Q1660" s="68"/>
      <c r="R1660" s="68"/>
      <c r="S1660" s="68"/>
    </row>
    <row r="1661" spans="1:19" s="47" customFormat="1" ht="15.75" customHeight="1">
      <c r="A1661" s="50"/>
      <c r="B1661" s="93" t="s">
        <v>801</v>
      </c>
      <c r="C1661" s="94"/>
      <c r="D1661" s="60"/>
      <c r="E1661" s="60"/>
      <c r="F1661" s="60"/>
      <c r="G1661" s="60"/>
      <c r="H1661" s="60"/>
      <c r="I1661" s="60"/>
      <c r="J1661" s="60"/>
      <c r="K1661" s="60"/>
      <c r="L1661" s="60" t="s">
        <v>556</v>
      </c>
      <c r="M1661" s="60">
        <v>1</v>
      </c>
      <c r="N1661" s="60" t="s">
        <v>556</v>
      </c>
      <c r="O1661" s="60" t="s">
        <v>556</v>
      </c>
      <c r="P1661" s="60" t="s">
        <v>556</v>
      </c>
      <c r="Q1661" s="95"/>
      <c r="R1661" s="95"/>
      <c r="S1661" s="96"/>
    </row>
    <row r="1662" spans="1:19" s="48" customFormat="1" ht="15.75" customHeight="1">
      <c r="A1662" s="12"/>
      <c r="B1662" s="106" t="s">
        <v>1045</v>
      </c>
      <c r="C1662" s="66" t="s">
        <v>1046</v>
      </c>
      <c r="D1662" s="40"/>
      <c r="E1662" s="40"/>
      <c r="F1662" s="40">
        <v>4</v>
      </c>
      <c r="G1662" s="40">
        <v>1</v>
      </c>
      <c r="H1662" s="40">
        <v>1</v>
      </c>
      <c r="I1662" s="40">
        <v>1</v>
      </c>
      <c r="J1662" s="40">
        <v>1</v>
      </c>
      <c r="K1662" s="40">
        <v>1</v>
      </c>
      <c r="L1662" s="40" t="s">
        <v>556</v>
      </c>
      <c r="M1662" s="40">
        <v>1</v>
      </c>
      <c r="N1662" s="40" t="s">
        <v>556</v>
      </c>
      <c r="O1662" s="40" t="s">
        <v>556</v>
      </c>
      <c r="P1662" s="40" t="s">
        <v>556</v>
      </c>
      <c r="Q1662" s="68"/>
      <c r="R1662" s="68"/>
      <c r="S1662" s="68"/>
    </row>
    <row r="1663" spans="1:19" ht="15" customHeight="1">
      <c r="A1663" s="399" t="s">
        <v>964</v>
      </c>
      <c r="B1663" s="399"/>
      <c r="C1663" s="399"/>
      <c r="D1663" s="399"/>
      <c r="E1663" s="399"/>
      <c r="F1663" s="399"/>
      <c r="G1663" s="399"/>
      <c r="H1663" s="399"/>
      <c r="I1663" s="399"/>
      <c r="J1663" s="399"/>
      <c r="K1663" s="399"/>
      <c r="L1663" s="399"/>
      <c r="M1663" s="399"/>
      <c r="N1663" s="399"/>
      <c r="O1663" s="399"/>
      <c r="P1663" s="399"/>
      <c r="Q1663" s="20"/>
      <c r="R1663" s="20"/>
      <c r="S1663" s="7"/>
    </row>
    <row r="1664" spans="1:19" ht="13.5" customHeight="1">
      <c r="A1664" s="400" t="s">
        <v>909</v>
      </c>
      <c r="B1664" s="400"/>
      <c r="C1664" s="400"/>
      <c r="D1664" s="400"/>
      <c r="E1664" s="400"/>
      <c r="F1664" s="400"/>
      <c r="G1664" s="400"/>
      <c r="H1664" s="400"/>
      <c r="I1664" s="400"/>
      <c r="J1664" s="400"/>
      <c r="K1664" s="400"/>
      <c r="L1664" s="400"/>
      <c r="M1664" s="400"/>
      <c r="N1664" s="400"/>
      <c r="O1664" s="400"/>
      <c r="P1664" s="400"/>
      <c r="Q1664" s="21"/>
      <c r="R1664" s="21"/>
      <c r="S1664" s="8"/>
    </row>
    <row r="1665" spans="1:188" s="57" customFormat="1" ht="18" customHeight="1">
      <c r="A1665" s="13">
        <v>107</v>
      </c>
      <c r="B1665" s="92" t="s">
        <v>965</v>
      </c>
      <c r="C1665" s="45"/>
      <c r="D1665" s="44">
        <v>43</v>
      </c>
      <c r="E1665" s="44">
        <v>5</v>
      </c>
      <c r="F1665" s="44">
        <v>1094</v>
      </c>
      <c r="G1665" s="44">
        <v>1112</v>
      </c>
      <c r="H1665" s="44">
        <v>1137</v>
      </c>
      <c r="I1665" s="44">
        <v>1163</v>
      </c>
      <c r="J1665" s="44"/>
      <c r="K1665" s="44">
        <v>1188</v>
      </c>
      <c r="L1665" s="44">
        <v>4</v>
      </c>
      <c r="M1665" s="44">
        <v>1</v>
      </c>
      <c r="N1665" s="44">
        <v>2</v>
      </c>
      <c r="O1665" s="44" t="s">
        <v>556</v>
      </c>
      <c r="P1665" s="44">
        <v>1</v>
      </c>
      <c r="Q1665" s="54" t="s">
        <v>648</v>
      </c>
      <c r="R1665" s="54">
        <v>1</v>
      </c>
      <c r="S1665" s="55" t="s">
        <v>442</v>
      </c>
      <c r="T1665" s="56"/>
      <c r="U1665" s="56"/>
      <c r="V1665" s="56"/>
      <c r="W1665" s="56"/>
      <c r="X1665" s="56"/>
      <c r="Y1665" s="56"/>
      <c r="Z1665" s="56"/>
      <c r="AA1665" s="56"/>
      <c r="AB1665" s="56"/>
      <c r="AC1665" s="56"/>
      <c r="AD1665" s="56"/>
      <c r="AE1665" s="56"/>
      <c r="AF1665" s="56"/>
      <c r="AG1665" s="56"/>
      <c r="AH1665" s="56"/>
      <c r="AI1665" s="56"/>
      <c r="AJ1665" s="56"/>
      <c r="AK1665" s="56"/>
      <c r="AL1665" s="56"/>
      <c r="AM1665" s="56"/>
      <c r="AN1665" s="56"/>
      <c r="AO1665" s="56"/>
      <c r="AP1665" s="56"/>
      <c r="AQ1665" s="56"/>
      <c r="AR1665" s="56"/>
      <c r="AS1665" s="56"/>
      <c r="AT1665" s="56"/>
      <c r="AU1665" s="56"/>
      <c r="AV1665" s="56"/>
      <c r="AW1665" s="56"/>
      <c r="AX1665" s="56"/>
      <c r="AY1665" s="56"/>
      <c r="AZ1665" s="56"/>
      <c r="BA1665" s="56"/>
      <c r="BB1665" s="56"/>
      <c r="BC1665" s="56"/>
      <c r="BD1665" s="56"/>
      <c r="BE1665" s="56"/>
      <c r="BF1665" s="56"/>
      <c r="BG1665" s="56"/>
      <c r="BH1665" s="56"/>
      <c r="BI1665" s="56"/>
      <c r="BJ1665" s="56"/>
      <c r="BK1665" s="56"/>
      <c r="BL1665" s="56"/>
      <c r="BM1665" s="56"/>
      <c r="BN1665" s="56"/>
      <c r="BO1665" s="56"/>
      <c r="BP1665" s="56"/>
      <c r="BQ1665" s="56"/>
      <c r="BR1665" s="56"/>
      <c r="BS1665" s="56"/>
      <c r="BT1665" s="56"/>
      <c r="BU1665" s="56"/>
      <c r="BV1665" s="56"/>
      <c r="BW1665" s="56"/>
      <c r="BX1665" s="56"/>
      <c r="BY1665" s="56"/>
      <c r="BZ1665" s="56"/>
      <c r="CA1665" s="56"/>
      <c r="CB1665" s="56"/>
      <c r="CC1665" s="56"/>
      <c r="CD1665" s="56"/>
      <c r="CE1665" s="56"/>
      <c r="CF1665" s="56"/>
      <c r="CG1665" s="56"/>
      <c r="CH1665" s="56"/>
      <c r="CI1665" s="56"/>
      <c r="CJ1665" s="56"/>
      <c r="CK1665" s="56"/>
      <c r="CL1665" s="56"/>
      <c r="CM1665" s="56"/>
      <c r="CN1665" s="56"/>
      <c r="CO1665" s="56"/>
      <c r="CP1665" s="56"/>
      <c r="CQ1665" s="56"/>
      <c r="CR1665" s="56"/>
      <c r="CS1665" s="56"/>
      <c r="CT1665" s="56"/>
      <c r="CU1665" s="56"/>
      <c r="CV1665" s="56"/>
      <c r="CW1665" s="56"/>
      <c r="CX1665" s="56"/>
      <c r="CY1665" s="56"/>
      <c r="CZ1665" s="56"/>
      <c r="DA1665" s="56"/>
      <c r="DB1665" s="56"/>
      <c r="DC1665" s="56"/>
      <c r="DD1665" s="56"/>
      <c r="DE1665" s="56"/>
      <c r="DF1665" s="56"/>
      <c r="DG1665" s="56"/>
      <c r="DH1665" s="56"/>
      <c r="DI1665" s="56"/>
      <c r="DJ1665" s="56"/>
      <c r="DK1665" s="56"/>
      <c r="DL1665" s="56"/>
      <c r="DM1665" s="56"/>
      <c r="DN1665" s="56"/>
      <c r="DO1665" s="56"/>
      <c r="DP1665" s="56"/>
      <c r="DQ1665" s="56"/>
      <c r="DR1665" s="56"/>
      <c r="DS1665" s="56"/>
      <c r="DT1665" s="56"/>
      <c r="DU1665" s="56"/>
      <c r="DV1665" s="56"/>
      <c r="DW1665" s="56"/>
      <c r="DX1665" s="56"/>
      <c r="DY1665" s="56"/>
      <c r="DZ1665" s="56"/>
      <c r="EA1665" s="56"/>
      <c r="EB1665" s="56"/>
      <c r="EC1665" s="56"/>
      <c r="ED1665" s="56"/>
      <c r="EE1665" s="56"/>
      <c r="EF1665" s="56"/>
      <c r="EG1665" s="56"/>
      <c r="EH1665" s="56"/>
      <c r="EI1665" s="56"/>
      <c r="EJ1665" s="56"/>
      <c r="EK1665" s="56"/>
      <c r="EL1665" s="56"/>
      <c r="EM1665" s="56"/>
      <c r="EN1665" s="56"/>
      <c r="EO1665" s="56"/>
      <c r="EP1665" s="56"/>
      <c r="EQ1665" s="56"/>
      <c r="ER1665" s="56"/>
      <c r="ES1665" s="56"/>
      <c r="ET1665" s="56"/>
      <c r="EU1665" s="56"/>
      <c r="EV1665" s="56"/>
      <c r="EW1665" s="56"/>
      <c r="EX1665" s="56"/>
      <c r="EY1665" s="56"/>
      <c r="EZ1665" s="56"/>
      <c r="FA1665" s="56"/>
      <c r="FB1665" s="56"/>
      <c r="FC1665" s="56"/>
      <c r="FD1665" s="56"/>
      <c r="FE1665" s="56"/>
      <c r="FF1665" s="56"/>
      <c r="FG1665" s="56"/>
      <c r="FH1665" s="56"/>
      <c r="FI1665" s="56"/>
      <c r="FJ1665" s="56"/>
      <c r="FK1665" s="56"/>
      <c r="FL1665" s="56"/>
      <c r="FM1665" s="56"/>
      <c r="FN1665" s="56"/>
      <c r="FO1665" s="56"/>
      <c r="FP1665" s="56"/>
      <c r="FQ1665" s="56"/>
      <c r="FR1665" s="56"/>
      <c r="FS1665" s="56"/>
      <c r="FT1665" s="56"/>
      <c r="FU1665" s="56"/>
      <c r="FV1665" s="56"/>
      <c r="FW1665" s="56"/>
      <c r="FX1665" s="56"/>
      <c r="FY1665" s="56"/>
      <c r="FZ1665" s="56"/>
      <c r="GA1665" s="56"/>
      <c r="GB1665" s="56"/>
      <c r="GC1665" s="56"/>
      <c r="GD1665" s="56"/>
      <c r="GE1665" s="56"/>
      <c r="GF1665" s="56"/>
    </row>
    <row r="1666" spans="1:48" s="18" customFormat="1" ht="18" customHeight="1">
      <c r="A1666" s="50"/>
      <c r="B1666" s="93" t="s">
        <v>669</v>
      </c>
      <c r="C1666" s="16"/>
      <c r="D1666" s="52"/>
      <c r="E1666" s="52"/>
      <c r="F1666" s="52"/>
      <c r="G1666" s="52"/>
      <c r="H1666" s="52"/>
      <c r="I1666" s="52"/>
      <c r="J1666" s="52"/>
      <c r="K1666" s="52"/>
      <c r="L1666" s="60">
        <f>SUM(L1667:L1670)</f>
        <v>3</v>
      </c>
      <c r="M1666" s="60">
        <f>SUM(M1667:M1670)</f>
        <v>1</v>
      </c>
      <c r="N1666" s="60">
        <f>SUM(N1667:N1670)</f>
        <v>1</v>
      </c>
      <c r="O1666" s="60" t="s">
        <v>556</v>
      </c>
      <c r="P1666" s="60">
        <f>SUM(P1667:P1670)</f>
        <v>1</v>
      </c>
      <c r="T1666" s="47"/>
      <c r="U1666" s="47"/>
      <c r="V1666" s="47"/>
      <c r="W1666" s="47"/>
      <c r="X1666" s="47"/>
      <c r="Y1666" s="47"/>
      <c r="Z1666" s="47"/>
      <c r="AA1666" s="47"/>
      <c r="AB1666" s="47"/>
      <c r="AC1666" s="47"/>
      <c r="AD1666" s="47"/>
      <c r="AE1666" s="47"/>
      <c r="AF1666" s="47"/>
      <c r="AG1666" s="47"/>
      <c r="AH1666" s="47"/>
      <c r="AI1666" s="47"/>
      <c r="AJ1666" s="47"/>
      <c r="AK1666" s="47"/>
      <c r="AL1666" s="47"/>
      <c r="AM1666" s="47"/>
      <c r="AN1666" s="47"/>
      <c r="AO1666" s="47"/>
      <c r="AP1666" s="47"/>
      <c r="AQ1666" s="47"/>
      <c r="AR1666" s="47"/>
      <c r="AS1666" s="47"/>
      <c r="AT1666" s="47"/>
      <c r="AU1666" s="47"/>
      <c r="AV1666" s="47"/>
    </row>
    <row r="1667" spans="1:48" s="27" customFormat="1" ht="15.75" customHeight="1">
      <c r="A1667" s="12"/>
      <c r="B1667" s="97" t="s">
        <v>1343</v>
      </c>
      <c r="C1667" s="15" t="s">
        <v>1344</v>
      </c>
      <c r="D1667" s="51"/>
      <c r="E1667" s="51"/>
      <c r="F1667" s="51">
        <v>79</v>
      </c>
      <c r="G1667" s="51">
        <v>84</v>
      </c>
      <c r="H1667" s="51">
        <v>94</v>
      </c>
      <c r="I1667" s="51">
        <v>105</v>
      </c>
      <c r="J1667" s="51"/>
      <c r="K1667" s="51">
        <v>115</v>
      </c>
      <c r="L1667" s="40">
        <v>2</v>
      </c>
      <c r="M1667" s="40">
        <v>1</v>
      </c>
      <c r="N1667" s="40" t="s">
        <v>556</v>
      </c>
      <c r="O1667" s="40" t="s">
        <v>556</v>
      </c>
      <c r="P1667" s="40" t="s">
        <v>556</v>
      </c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</row>
    <row r="1668" spans="1:48" s="27" customFormat="1" ht="15.75" customHeight="1">
      <c r="A1668" s="12"/>
      <c r="B1668" s="105" t="s">
        <v>140</v>
      </c>
      <c r="C1668" s="15" t="s">
        <v>141</v>
      </c>
      <c r="D1668" s="53"/>
      <c r="E1668" s="51"/>
      <c r="F1668" s="51">
        <v>66</v>
      </c>
      <c r="G1668" s="51">
        <v>70</v>
      </c>
      <c r="H1668" s="51">
        <v>75</v>
      </c>
      <c r="I1668" s="51">
        <v>80</v>
      </c>
      <c r="J1668" s="51"/>
      <c r="K1668" s="51">
        <v>85</v>
      </c>
      <c r="L1668" s="40">
        <v>1</v>
      </c>
      <c r="M1668" s="40" t="s">
        <v>556</v>
      </c>
      <c r="N1668" s="40" t="s">
        <v>556</v>
      </c>
      <c r="O1668" s="40" t="s">
        <v>556</v>
      </c>
      <c r="P1668" s="40" t="s">
        <v>556</v>
      </c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</row>
    <row r="1669" spans="1:48" s="27" customFormat="1" ht="15.75" customHeight="1">
      <c r="A1669" s="12"/>
      <c r="B1669" s="97" t="s">
        <v>1306</v>
      </c>
      <c r="C1669" s="29" t="s">
        <v>1307</v>
      </c>
      <c r="D1669" s="53"/>
      <c r="E1669" s="51"/>
      <c r="F1669" s="51">
        <v>66</v>
      </c>
      <c r="G1669" s="51">
        <v>70</v>
      </c>
      <c r="H1669" s="51">
        <v>75</v>
      </c>
      <c r="I1669" s="51">
        <v>80</v>
      </c>
      <c r="J1669" s="51"/>
      <c r="K1669" s="51">
        <v>85</v>
      </c>
      <c r="L1669" s="40" t="s">
        <v>556</v>
      </c>
      <c r="M1669" s="40" t="s">
        <v>556</v>
      </c>
      <c r="N1669" s="40">
        <v>1</v>
      </c>
      <c r="O1669" s="40" t="s">
        <v>556</v>
      </c>
      <c r="P1669" s="40" t="s">
        <v>556</v>
      </c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</row>
    <row r="1670" spans="1:48" s="27" customFormat="1" ht="15.75" customHeight="1">
      <c r="A1670" s="12"/>
      <c r="B1670" s="97" t="s">
        <v>784</v>
      </c>
      <c r="C1670" s="15" t="s">
        <v>785</v>
      </c>
      <c r="D1670" s="53"/>
      <c r="E1670" s="51"/>
      <c r="F1670" s="51"/>
      <c r="G1670" s="51"/>
      <c r="H1670" s="51"/>
      <c r="I1670" s="51"/>
      <c r="J1670" s="51"/>
      <c r="K1670" s="51"/>
      <c r="L1670" s="40" t="s">
        <v>556</v>
      </c>
      <c r="M1670" s="40" t="s">
        <v>556</v>
      </c>
      <c r="N1670" s="40" t="s">
        <v>556</v>
      </c>
      <c r="O1670" s="40" t="s">
        <v>556</v>
      </c>
      <c r="P1670" s="40">
        <v>1</v>
      </c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</row>
    <row r="1671" spans="1:48" s="18" customFormat="1" ht="17.25" customHeight="1">
      <c r="A1671" s="50"/>
      <c r="B1671" s="93" t="s">
        <v>1336</v>
      </c>
      <c r="C1671" s="16"/>
      <c r="D1671" s="52"/>
      <c r="E1671" s="52"/>
      <c r="F1671" s="52"/>
      <c r="G1671" s="52"/>
      <c r="H1671" s="52"/>
      <c r="I1671" s="52"/>
      <c r="J1671" s="52"/>
      <c r="K1671" s="52"/>
      <c r="L1671" s="60">
        <f>L1672</f>
        <v>1</v>
      </c>
      <c r="M1671" s="60" t="str">
        <f>M1672</f>
        <v> -</v>
      </c>
      <c r="N1671" s="60" t="s">
        <v>556</v>
      </c>
      <c r="O1671" s="60" t="str">
        <f>O1672</f>
        <v> -</v>
      </c>
      <c r="P1671" s="60" t="str">
        <f>P1672</f>
        <v> -</v>
      </c>
      <c r="Q1671" s="23"/>
      <c r="R1671" s="23"/>
      <c r="S1671" s="17"/>
      <c r="T1671" s="47"/>
      <c r="U1671" s="47"/>
      <c r="V1671" s="47"/>
      <c r="W1671" s="47"/>
      <c r="X1671" s="47"/>
      <c r="Y1671" s="47"/>
      <c r="Z1671" s="47"/>
      <c r="AA1671" s="47"/>
      <c r="AB1671" s="47"/>
      <c r="AC1671" s="47"/>
      <c r="AD1671" s="47"/>
      <c r="AE1671" s="47"/>
      <c r="AF1671" s="47"/>
      <c r="AG1671" s="47"/>
      <c r="AH1671" s="47"/>
      <c r="AI1671" s="47"/>
      <c r="AJ1671" s="47"/>
      <c r="AK1671" s="47"/>
      <c r="AL1671" s="47"/>
      <c r="AM1671" s="47"/>
      <c r="AN1671" s="47"/>
      <c r="AO1671" s="47"/>
      <c r="AP1671" s="47"/>
      <c r="AQ1671" s="47"/>
      <c r="AR1671" s="47"/>
      <c r="AS1671" s="47"/>
      <c r="AT1671" s="47"/>
      <c r="AU1671" s="47"/>
      <c r="AV1671" s="47"/>
    </row>
    <row r="1672" spans="1:48" s="27" customFormat="1" ht="17.25" customHeight="1">
      <c r="A1672" s="12"/>
      <c r="B1672" s="105" t="s">
        <v>133</v>
      </c>
      <c r="C1672" s="15" t="s">
        <v>134</v>
      </c>
      <c r="D1672" s="51"/>
      <c r="E1672" s="40"/>
      <c r="F1672" s="51">
        <v>4</v>
      </c>
      <c r="G1672" s="51">
        <v>4</v>
      </c>
      <c r="H1672" s="51">
        <v>4</v>
      </c>
      <c r="I1672" s="51">
        <v>4</v>
      </c>
      <c r="J1672" s="51"/>
      <c r="K1672" s="51">
        <v>4</v>
      </c>
      <c r="L1672" s="40">
        <v>1</v>
      </c>
      <c r="M1672" s="40" t="s">
        <v>556</v>
      </c>
      <c r="N1672" s="40" t="s">
        <v>556</v>
      </c>
      <c r="O1672" s="40" t="s">
        <v>556</v>
      </c>
      <c r="P1672" s="40" t="s">
        <v>556</v>
      </c>
      <c r="Q1672" s="30"/>
      <c r="R1672" s="30"/>
      <c r="S1672" s="30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</row>
    <row r="1673" spans="1:48" s="18" customFormat="1" ht="17.25" customHeight="1">
      <c r="A1673" s="50"/>
      <c r="B1673" s="93" t="s">
        <v>37</v>
      </c>
      <c r="C1673" s="16"/>
      <c r="D1673" s="52"/>
      <c r="E1673" s="52"/>
      <c r="F1673" s="52"/>
      <c r="G1673" s="52"/>
      <c r="H1673" s="52"/>
      <c r="I1673" s="52"/>
      <c r="J1673" s="52"/>
      <c r="K1673" s="52"/>
      <c r="L1673" s="60" t="str">
        <f>L1674</f>
        <v> -</v>
      </c>
      <c r="M1673" s="60" t="str">
        <f>M1674</f>
        <v> -</v>
      </c>
      <c r="N1673" s="60">
        <f>N1674</f>
        <v>1</v>
      </c>
      <c r="O1673" s="60" t="str">
        <f>O1674</f>
        <v> -</v>
      </c>
      <c r="P1673" s="60" t="str">
        <f>P1674</f>
        <v> -</v>
      </c>
      <c r="Q1673" s="23"/>
      <c r="R1673" s="23"/>
      <c r="S1673" s="17"/>
      <c r="T1673" s="47"/>
      <c r="U1673" s="47"/>
      <c r="V1673" s="47"/>
      <c r="W1673" s="47"/>
      <c r="X1673" s="47"/>
      <c r="Y1673" s="47"/>
      <c r="Z1673" s="47"/>
      <c r="AA1673" s="47"/>
      <c r="AB1673" s="47"/>
      <c r="AC1673" s="47"/>
      <c r="AD1673" s="47"/>
      <c r="AE1673" s="47"/>
      <c r="AF1673" s="47"/>
      <c r="AG1673" s="47"/>
      <c r="AH1673" s="47"/>
      <c r="AI1673" s="47"/>
      <c r="AJ1673" s="47"/>
      <c r="AK1673" s="47"/>
      <c r="AL1673" s="47"/>
      <c r="AM1673" s="47"/>
      <c r="AN1673" s="47"/>
      <c r="AO1673" s="47"/>
      <c r="AP1673" s="47"/>
      <c r="AQ1673" s="47"/>
      <c r="AR1673" s="47"/>
      <c r="AS1673" s="47"/>
      <c r="AT1673" s="47"/>
      <c r="AU1673" s="47"/>
      <c r="AV1673" s="47"/>
    </row>
    <row r="1674" spans="1:48" s="27" customFormat="1" ht="19.5" customHeight="1">
      <c r="A1674" s="12"/>
      <c r="B1674" s="111" t="s">
        <v>862</v>
      </c>
      <c r="C1674" s="15" t="s">
        <v>863</v>
      </c>
      <c r="D1674" s="51"/>
      <c r="E1674" s="51"/>
      <c r="F1674" s="51"/>
      <c r="G1674" s="51">
        <v>7</v>
      </c>
      <c r="H1674" s="51">
        <v>7</v>
      </c>
      <c r="I1674" s="51">
        <v>7</v>
      </c>
      <c r="J1674" s="51"/>
      <c r="K1674" s="51">
        <v>7</v>
      </c>
      <c r="L1674" s="40" t="s">
        <v>556</v>
      </c>
      <c r="M1674" s="40" t="s">
        <v>556</v>
      </c>
      <c r="N1674" s="40">
        <v>1</v>
      </c>
      <c r="O1674" s="40" t="s">
        <v>556</v>
      </c>
      <c r="P1674" s="40" t="s">
        <v>556</v>
      </c>
      <c r="Q1674" s="30"/>
      <c r="R1674" s="30"/>
      <c r="S1674" s="30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</row>
    <row r="1675" spans="1:188" s="57" customFormat="1" ht="18" customHeight="1">
      <c r="A1675" s="13">
        <v>108</v>
      </c>
      <c r="B1675" s="92" t="s">
        <v>966</v>
      </c>
      <c r="C1675" s="45"/>
      <c r="D1675" s="44">
        <v>28</v>
      </c>
      <c r="E1675" s="44">
        <v>14</v>
      </c>
      <c r="F1675" s="44">
        <v>1094</v>
      </c>
      <c r="G1675" s="44">
        <v>1112</v>
      </c>
      <c r="H1675" s="44">
        <v>1137</v>
      </c>
      <c r="I1675" s="44">
        <v>1163</v>
      </c>
      <c r="J1675" s="44"/>
      <c r="K1675" s="44">
        <v>1188</v>
      </c>
      <c r="L1675" s="44">
        <f>SUM(L1676,L1678,L1680)</f>
        <v>1</v>
      </c>
      <c r="M1675" s="44">
        <f>SUM(M1676,M1678,M1680)</f>
        <v>10</v>
      </c>
      <c r="N1675" s="44">
        <f>SUM(N1676,N1678,N1680)</f>
        <v>6</v>
      </c>
      <c r="O1675" s="44">
        <f>SUM(O1676,O1678,O1680)</f>
        <v>1</v>
      </c>
      <c r="P1675" s="44">
        <f>SUM(P1676,P1678,P1680)</f>
        <v>1</v>
      </c>
      <c r="Q1675" s="54" t="s">
        <v>648</v>
      </c>
      <c r="R1675" s="54">
        <v>1</v>
      </c>
      <c r="S1675" s="55" t="s">
        <v>442</v>
      </c>
      <c r="T1675" s="56"/>
      <c r="U1675" s="56"/>
      <c r="V1675" s="56"/>
      <c r="W1675" s="56"/>
      <c r="X1675" s="56"/>
      <c r="Y1675" s="56"/>
      <c r="Z1675" s="56"/>
      <c r="AA1675" s="56"/>
      <c r="AB1675" s="56"/>
      <c r="AC1675" s="56"/>
      <c r="AD1675" s="56"/>
      <c r="AE1675" s="56"/>
      <c r="AF1675" s="56"/>
      <c r="AG1675" s="56"/>
      <c r="AH1675" s="56"/>
      <c r="AI1675" s="56"/>
      <c r="AJ1675" s="56"/>
      <c r="AK1675" s="56"/>
      <c r="AL1675" s="56"/>
      <c r="AM1675" s="56"/>
      <c r="AN1675" s="56"/>
      <c r="AO1675" s="56"/>
      <c r="AP1675" s="56"/>
      <c r="AQ1675" s="56"/>
      <c r="AR1675" s="56"/>
      <c r="AS1675" s="56"/>
      <c r="AT1675" s="56"/>
      <c r="AU1675" s="56"/>
      <c r="AV1675" s="56"/>
      <c r="AW1675" s="56"/>
      <c r="AX1675" s="56"/>
      <c r="AY1675" s="56"/>
      <c r="AZ1675" s="56"/>
      <c r="BA1675" s="56"/>
      <c r="BB1675" s="56"/>
      <c r="BC1675" s="56"/>
      <c r="BD1675" s="56"/>
      <c r="BE1675" s="56"/>
      <c r="BF1675" s="56"/>
      <c r="BG1675" s="56"/>
      <c r="BH1675" s="56"/>
      <c r="BI1675" s="56"/>
      <c r="BJ1675" s="56"/>
      <c r="BK1675" s="56"/>
      <c r="BL1675" s="56"/>
      <c r="BM1675" s="56"/>
      <c r="BN1675" s="56"/>
      <c r="BO1675" s="56"/>
      <c r="BP1675" s="56"/>
      <c r="BQ1675" s="56"/>
      <c r="BR1675" s="56"/>
      <c r="BS1675" s="56"/>
      <c r="BT1675" s="56"/>
      <c r="BU1675" s="56"/>
      <c r="BV1675" s="56"/>
      <c r="BW1675" s="56"/>
      <c r="BX1675" s="56"/>
      <c r="BY1675" s="56"/>
      <c r="BZ1675" s="56"/>
      <c r="CA1675" s="56"/>
      <c r="CB1675" s="56"/>
      <c r="CC1675" s="56"/>
      <c r="CD1675" s="56"/>
      <c r="CE1675" s="56"/>
      <c r="CF1675" s="56"/>
      <c r="CG1675" s="56"/>
      <c r="CH1675" s="56"/>
      <c r="CI1675" s="56"/>
      <c r="CJ1675" s="56"/>
      <c r="CK1675" s="56"/>
      <c r="CL1675" s="56"/>
      <c r="CM1675" s="56"/>
      <c r="CN1675" s="56"/>
      <c r="CO1675" s="56"/>
      <c r="CP1675" s="56"/>
      <c r="CQ1675" s="56"/>
      <c r="CR1675" s="56"/>
      <c r="CS1675" s="56"/>
      <c r="CT1675" s="56"/>
      <c r="CU1675" s="56"/>
      <c r="CV1675" s="56"/>
      <c r="CW1675" s="56"/>
      <c r="CX1675" s="56"/>
      <c r="CY1675" s="56"/>
      <c r="CZ1675" s="56"/>
      <c r="DA1675" s="56"/>
      <c r="DB1675" s="56"/>
      <c r="DC1675" s="56"/>
      <c r="DD1675" s="56"/>
      <c r="DE1675" s="56"/>
      <c r="DF1675" s="56"/>
      <c r="DG1675" s="56"/>
      <c r="DH1675" s="56"/>
      <c r="DI1675" s="56"/>
      <c r="DJ1675" s="56"/>
      <c r="DK1675" s="56"/>
      <c r="DL1675" s="56"/>
      <c r="DM1675" s="56"/>
      <c r="DN1675" s="56"/>
      <c r="DO1675" s="56"/>
      <c r="DP1675" s="56"/>
      <c r="DQ1675" s="56"/>
      <c r="DR1675" s="56"/>
      <c r="DS1675" s="56"/>
      <c r="DT1675" s="56"/>
      <c r="DU1675" s="56"/>
      <c r="DV1675" s="56"/>
      <c r="DW1675" s="56"/>
      <c r="DX1675" s="56"/>
      <c r="DY1675" s="56"/>
      <c r="DZ1675" s="56"/>
      <c r="EA1675" s="56"/>
      <c r="EB1675" s="56"/>
      <c r="EC1675" s="56"/>
      <c r="ED1675" s="56"/>
      <c r="EE1675" s="56"/>
      <c r="EF1675" s="56"/>
      <c r="EG1675" s="56"/>
      <c r="EH1675" s="56"/>
      <c r="EI1675" s="56"/>
      <c r="EJ1675" s="56"/>
      <c r="EK1675" s="56"/>
      <c r="EL1675" s="56"/>
      <c r="EM1675" s="56"/>
      <c r="EN1675" s="56"/>
      <c r="EO1675" s="56"/>
      <c r="EP1675" s="56"/>
      <c r="EQ1675" s="56"/>
      <c r="ER1675" s="56"/>
      <c r="ES1675" s="56"/>
      <c r="ET1675" s="56"/>
      <c r="EU1675" s="56"/>
      <c r="EV1675" s="56"/>
      <c r="EW1675" s="56"/>
      <c r="EX1675" s="56"/>
      <c r="EY1675" s="56"/>
      <c r="EZ1675" s="56"/>
      <c r="FA1675" s="56"/>
      <c r="FB1675" s="56"/>
      <c r="FC1675" s="56"/>
      <c r="FD1675" s="56"/>
      <c r="FE1675" s="56"/>
      <c r="FF1675" s="56"/>
      <c r="FG1675" s="56"/>
      <c r="FH1675" s="56"/>
      <c r="FI1675" s="56"/>
      <c r="FJ1675" s="56"/>
      <c r="FK1675" s="56"/>
      <c r="FL1675" s="56"/>
      <c r="FM1675" s="56"/>
      <c r="FN1675" s="56"/>
      <c r="FO1675" s="56"/>
      <c r="FP1675" s="56"/>
      <c r="FQ1675" s="56"/>
      <c r="FR1675" s="56"/>
      <c r="FS1675" s="56"/>
      <c r="FT1675" s="56"/>
      <c r="FU1675" s="56"/>
      <c r="FV1675" s="56"/>
      <c r="FW1675" s="56"/>
      <c r="FX1675" s="56"/>
      <c r="FY1675" s="56"/>
      <c r="FZ1675" s="56"/>
      <c r="GA1675" s="56"/>
      <c r="GB1675" s="56"/>
      <c r="GC1675" s="56"/>
      <c r="GD1675" s="56"/>
      <c r="GE1675" s="56"/>
      <c r="GF1675" s="56"/>
    </row>
    <row r="1676" spans="1:48" s="18" customFormat="1" ht="18" customHeight="1">
      <c r="A1676" s="50"/>
      <c r="B1676" s="93" t="s">
        <v>669</v>
      </c>
      <c r="C1676" s="16"/>
      <c r="D1676" s="52"/>
      <c r="E1676" s="52"/>
      <c r="F1676" s="52"/>
      <c r="G1676" s="52"/>
      <c r="H1676" s="52"/>
      <c r="I1676" s="52"/>
      <c r="J1676" s="52"/>
      <c r="K1676" s="52"/>
      <c r="L1676" s="60">
        <f>SUM(L1677:L1681)</f>
        <v>1</v>
      </c>
      <c r="M1676" s="60">
        <f>SUM(M1677:M1681)</f>
        <v>7</v>
      </c>
      <c r="N1676" s="60">
        <f>SUM(N1677:N1681)</f>
        <v>4</v>
      </c>
      <c r="O1676" s="60">
        <f>SUM(O1677:O1681)</f>
        <v>1</v>
      </c>
      <c r="P1676" s="60">
        <f>SUM(P1677:P1681)</f>
        <v>1</v>
      </c>
      <c r="T1676" s="47"/>
      <c r="U1676" s="47"/>
      <c r="V1676" s="47"/>
      <c r="W1676" s="47"/>
      <c r="X1676" s="47"/>
      <c r="Y1676" s="47"/>
      <c r="Z1676" s="47"/>
      <c r="AA1676" s="47"/>
      <c r="AB1676" s="47"/>
      <c r="AC1676" s="47"/>
      <c r="AD1676" s="47"/>
      <c r="AE1676" s="47"/>
      <c r="AF1676" s="47"/>
      <c r="AG1676" s="47"/>
      <c r="AH1676" s="47"/>
      <c r="AI1676" s="47"/>
      <c r="AJ1676" s="47"/>
      <c r="AK1676" s="47"/>
      <c r="AL1676" s="47"/>
      <c r="AM1676" s="47"/>
      <c r="AN1676" s="47"/>
      <c r="AO1676" s="47"/>
      <c r="AP1676" s="47"/>
      <c r="AQ1676" s="47"/>
      <c r="AR1676" s="47"/>
      <c r="AS1676" s="47"/>
      <c r="AT1676" s="47"/>
      <c r="AU1676" s="47"/>
      <c r="AV1676" s="47"/>
    </row>
    <row r="1677" spans="1:48" s="27" customFormat="1" ht="15.75" customHeight="1">
      <c r="A1677" s="12"/>
      <c r="B1677" s="97" t="s">
        <v>43</v>
      </c>
      <c r="C1677" s="29" t="s">
        <v>42</v>
      </c>
      <c r="D1677" s="51"/>
      <c r="E1677" s="51"/>
      <c r="F1677" s="51">
        <v>79</v>
      </c>
      <c r="G1677" s="51">
        <v>84</v>
      </c>
      <c r="H1677" s="51">
        <v>94</v>
      </c>
      <c r="I1677" s="51">
        <v>105</v>
      </c>
      <c r="J1677" s="51"/>
      <c r="K1677" s="51">
        <v>115</v>
      </c>
      <c r="L1677" s="40">
        <v>1</v>
      </c>
      <c r="M1677" s="40">
        <v>1</v>
      </c>
      <c r="N1677" s="40">
        <v>1</v>
      </c>
      <c r="O1677" s="40">
        <v>1</v>
      </c>
      <c r="P1677" s="40">
        <v>1</v>
      </c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</row>
    <row r="1678" spans="1:48" s="18" customFormat="1" ht="17.25" customHeight="1">
      <c r="A1678" s="50"/>
      <c r="B1678" s="93" t="s">
        <v>1336</v>
      </c>
      <c r="C1678" s="16"/>
      <c r="D1678" s="52"/>
      <c r="E1678" s="52"/>
      <c r="F1678" s="52"/>
      <c r="G1678" s="52"/>
      <c r="H1678" s="52"/>
      <c r="I1678" s="52"/>
      <c r="J1678" s="52"/>
      <c r="K1678" s="52"/>
      <c r="L1678" s="60" t="str">
        <f>L1679</f>
        <v> -</v>
      </c>
      <c r="M1678" s="60">
        <f>M1679</f>
        <v>2</v>
      </c>
      <c r="N1678" s="60">
        <f>N1679</f>
        <v>1</v>
      </c>
      <c r="O1678" s="60" t="str">
        <f>O1679</f>
        <v> -</v>
      </c>
      <c r="P1678" s="60" t="str">
        <f>P1679</f>
        <v> -</v>
      </c>
      <c r="Q1678" s="23"/>
      <c r="R1678" s="23"/>
      <c r="S1678" s="17"/>
      <c r="T1678" s="47"/>
      <c r="U1678" s="47"/>
      <c r="V1678" s="47"/>
      <c r="W1678" s="47"/>
      <c r="X1678" s="47"/>
      <c r="Y1678" s="47"/>
      <c r="Z1678" s="47"/>
      <c r="AA1678" s="47"/>
      <c r="AB1678" s="47"/>
      <c r="AC1678" s="47"/>
      <c r="AD1678" s="47"/>
      <c r="AE1678" s="47"/>
      <c r="AF1678" s="47"/>
      <c r="AG1678" s="47"/>
      <c r="AH1678" s="47"/>
      <c r="AI1678" s="47"/>
      <c r="AJ1678" s="47"/>
      <c r="AK1678" s="47"/>
      <c r="AL1678" s="47"/>
      <c r="AM1678" s="47"/>
      <c r="AN1678" s="47"/>
      <c r="AO1678" s="47"/>
      <c r="AP1678" s="47"/>
      <c r="AQ1678" s="47"/>
      <c r="AR1678" s="47"/>
      <c r="AS1678" s="47"/>
      <c r="AT1678" s="47"/>
      <c r="AU1678" s="47"/>
      <c r="AV1678" s="47"/>
    </row>
    <row r="1679" spans="1:48" s="27" customFormat="1" ht="17.25" customHeight="1">
      <c r="A1679" s="12"/>
      <c r="B1679" s="97" t="s">
        <v>67</v>
      </c>
      <c r="C1679" s="15" t="s">
        <v>68</v>
      </c>
      <c r="D1679" s="51"/>
      <c r="E1679" s="40"/>
      <c r="F1679" s="51">
        <v>4</v>
      </c>
      <c r="G1679" s="51">
        <v>4</v>
      </c>
      <c r="H1679" s="51">
        <v>4</v>
      </c>
      <c r="I1679" s="51">
        <v>4</v>
      </c>
      <c r="J1679" s="51"/>
      <c r="K1679" s="51">
        <v>4</v>
      </c>
      <c r="L1679" s="40" t="s">
        <v>556</v>
      </c>
      <c r="M1679" s="40">
        <v>2</v>
      </c>
      <c r="N1679" s="40">
        <v>1</v>
      </c>
      <c r="O1679" s="40" t="s">
        <v>556</v>
      </c>
      <c r="P1679" s="40" t="s">
        <v>556</v>
      </c>
      <c r="Q1679" s="30"/>
      <c r="R1679" s="30"/>
      <c r="S1679" s="30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</row>
    <row r="1680" spans="1:48" s="18" customFormat="1" ht="17.25" customHeight="1">
      <c r="A1680" s="50"/>
      <c r="B1680" s="93" t="s">
        <v>37</v>
      </c>
      <c r="C1680" s="16"/>
      <c r="D1680" s="52"/>
      <c r="E1680" s="52"/>
      <c r="F1680" s="52"/>
      <c r="G1680" s="52"/>
      <c r="H1680" s="52"/>
      <c r="I1680" s="52"/>
      <c r="J1680" s="52"/>
      <c r="K1680" s="52"/>
      <c r="L1680" s="60" t="str">
        <f>L1682</f>
        <v> -</v>
      </c>
      <c r="M1680" s="60">
        <v>1</v>
      </c>
      <c r="N1680" s="60">
        <v>1</v>
      </c>
      <c r="O1680" s="60" t="str">
        <f>O1682</f>
        <v> -</v>
      </c>
      <c r="P1680" s="60" t="str">
        <f>P1682</f>
        <v> -</v>
      </c>
      <c r="Q1680" s="23"/>
      <c r="R1680" s="23"/>
      <c r="S1680" s="17"/>
      <c r="T1680" s="47"/>
      <c r="U1680" s="47"/>
      <c r="V1680" s="47"/>
      <c r="W1680" s="47"/>
      <c r="X1680" s="47"/>
      <c r="Y1680" s="47"/>
      <c r="Z1680" s="47"/>
      <c r="AA1680" s="47"/>
      <c r="AB1680" s="47"/>
      <c r="AC1680" s="47"/>
      <c r="AD1680" s="47"/>
      <c r="AE1680" s="47"/>
      <c r="AF1680" s="47"/>
      <c r="AG1680" s="47"/>
      <c r="AH1680" s="47"/>
      <c r="AI1680" s="47"/>
      <c r="AJ1680" s="47"/>
      <c r="AK1680" s="47"/>
      <c r="AL1680" s="47"/>
      <c r="AM1680" s="47"/>
      <c r="AN1680" s="47"/>
      <c r="AO1680" s="47"/>
      <c r="AP1680" s="47"/>
      <c r="AQ1680" s="47"/>
      <c r="AR1680" s="47"/>
      <c r="AS1680" s="47"/>
      <c r="AT1680" s="47"/>
      <c r="AU1680" s="47"/>
      <c r="AV1680" s="47"/>
    </row>
    <row r="1681" spans="1:48" s="27" customFormat="1" ht="15.75" customHeight="1">
      <c r="A1681" s="12"/>
      <c r="B1681" s="97" t="s">
        <v>802</v>
      </c>
      <c r="C1681" s="66" t="s">
        <v>803</v>
      </c>
      <c r="D1681" s="53"/>
      <c r="E1681" s="51"/>
      <c r="F1681" s="51"/>
      <c r="G1681" s="51"/>
      <c r="H1681" s="51"/>
      <c r="I1681" s="51"/>
      <c r="J1681" s="51"/>
      <c r="K1681" s="51"/>
      <c r="L1681" s="40" t="s">
        <v>556</v>
      </c>
      <c r="M1681" s="40">
        <v>1</v>
      </c>
      <c r="N1681" s="40" t="s">
        <v>556</v>
      </c>
      <c r="O1681" s="40" t="s">
        <v>556</v>
      </c>
      <c r="P1681" s="40" t="s">
        <v>556</v>
      </c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</row>
    <row r="1682" spans="1:48" s="27" customFormat="1" ht="19.5" customHeight="1">
      <c r="A1682" s="12"/>
      <c r="B1682" s="111" t="s">
        <v>862</v>
      </c>
      <c r="C1682" s="15" t="s">
        <v>863</v>
      </c>
      <c r="D1682" s="51"/>
      <c r="E1682" s="51"/>
      <c r="F1682" s="51"/>
      <c r="G1682" s="51">
        <v>7</v>
      </c>
      <c r="H1682" s="51">
        <v>7</v>
      </c>
      <c r="I1682" s="51">
        <v>7</v>
      </c>
      <c r="J1682" s="51"/>
      <c r="K1682" s="51">
        <v>7</v>
      </c>
      <c r="L1682" s="40" t="s">
        <v>556</v>
      </c>
      <c r="M1682" s="40" t="s">
        <v>556</v>
      </c>
      <c r="N1682" s="40">
        <v>1</v>
      </c>
      <c r="O1682" s="40" t="s">
        <v>556</v>
      </c>
      <c r="P1682" s="40" t="s">
        <v>556</v>
      </c>
      <c r="Q1682" s="30"/>
      <c r="R1682" s="30"/>
      <c r="S1682" s="30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</row>
    <row r="1683" spans="1:19" ht="18.75" customHeight="1">
      <c r="A1683" s="401" t="s">
        <v>625</v>
      </c>
      <c r="B1683" s="401"/>
      <c r="C1683" s="401"/>
      <c r="D1683" s="401"/>
      <c r="E1683" s="401"/>
      <c r="F1683" s="401"/>
      <c r="G1683" s="401"/>
      <c r="H1683" s="401"/>
      <c r="I1683" s="401"/>
      <c r="J1683" s="401"/>
      <c r="K1683" s="401"/>
      <c r="L1683" s="401"/>
      <c r="M1683" s="401"/>
      <c r="N1683" s="401"/>
      <c r="O1683" s="401"/>
      <c r="P1683" s="401"/>
      <c r="Q1683" s="20"/>
      <c r="R1683" s="20"/>
      <c r="S1683" s="7"/>
    </row>
    <row r="1684" spans="1:19" ht="15" customHeight="1">
      <c r="A1684" s="399" t="s">
        <v>650</v>
      </c>
      <c r="B1684" s="399"/>
      <c r="C1684" s="399"/>
      <c r="D1684" s="399"/>
      <c r="E1684" s="399"/>
      <c r="F1684" s="399"/>
      <c r="G1684" s="399"/>
      <c r="H1684" s="399"/>
      <c r="I1684" s="399"/>
      <c r="J1684" s="399"/>
      <c r="K1684" s="399"/>
      <c r="L1684" s="399"/>
      <c r="M1684" s="399"/>
      <c r="N1684" s="399"/>
      <c r="O1684" s="399"/>
      <c r="P1684" s="399"/>
      <c r="Q1684" s="20"/>
      <c r="R1684" s="20"/>
      <c r="S1684" s="7"/>
    </row>
    <row r="1685" spans="1:19" ht="13.5" customHeight="1">
      <c r="A1685" s="400" t="s">
        <v>676</v>
      </c>
      <c r="B1685" s="400"/>
      <c r="C1685" s="400"/>
      <c r="D1685" s="400"/>
      <c r="E1685" s="400"/>
      <c r="F1685" s="400"/>
      <c r="G1685" s="400"/>
      <c r="H1685" s="400"/>
      <c r="I1685" s="400"/>
      <c r="J1685" s="400"/>
      <c r="K1685" s="400"/>
      <c r="L1685" s="400"/>
      <c r="M1685" s="400"/>
      <c r="N1685" s="400"/>
      <c r="O1685" s="400"/>
      <c r="P1685" s="400"/>
      <c r="Q1685" s="21"/>
      <c r="R1685" s="21"/>
      <c r="S1685" s="8"/>
    </row>
    <row r="1686" spans="1:188" s="57" customFormat="1" ht="16.5" customHeight="1">
      <c r="A1686" s="13">
        <v>1</v>
      </c>
      <c r="B1686" s="92" t="s">
        <v>246</v>
      </c>
      <c r="C1686" s="45"/>
      <c r="D1686" s="44">
        <v>836</v>
      </c>
      <c r="E1686" s="44">
        <v>27</v>
      </c>
      <c r="F1686" s="44">
        <v>1094</v>
      </c>
      <c r="G1686" s="44">
        <v>1112</v>
      </c>
      <c r="H1686" s="44">
        <v>1137</v>
      </c>
      <c r="I1686" s="44">
        <v>1163</v>
      </c>
      <c r="J1686" s="44"/>
      <c r="K1686" s="44">
        <v>1188</v>
      </c>
      <c r="L1686" s="44">
        <f>SUM(L1687,L1693,L1698)</f>
        <v>104</v>
      </c>
      <c r="M1686" s="44">
        <f>SUM(M1687,M1693,M1698)</f>
        <v>77</v>
      </c>
      <c r="N1686" s="44">
        <f>SUM(N1687,N1693,N1698)</f>
        <v>77</v>
      </c>
      <c r="O1686" s="44">
        <f>SUM(O1687,O1693,O1698)</f>
        <v>75</v>
      </c>
      <c r="P1686" s="44">
        <f>SUM(P1687,P1693,P1698)</f>
        <v>75</v>
      </c>
      <c r="Q1686" s="54" t="s">
        <v>648</v>
      </c>
      <c r="R1686" s="54">
        <v>1</v>
      </c>
      <c r="S1686" s="55" t="s">
        <v>442</v>
      </c>
      <c r="T1686" s="56"/>
      <c r="U1686" s="56"/>
      <c r="V1686" s="56"/>
      <c r="W1686" s="56"/>
      <c r="X1686" s="56"/>
      <c r="Y1686" s="56"/>
      <c r="Z1686" s="56"/>
      <c r="AA1686" s="56"/>
      <c r="AB1686" s="56"/>
      <c r="AC1686" s="56"/>
      <c r="AD1686" s="56"/>
      <c r="AE1686" s="56"/>
      <c r="AF1686" s="56"/>
      <c r="AG1686" s="56"/>
      <c r="AH1686" s="56"/>
      <c r="AI1686" s="56"/>
      <c r="AJ1686" s="56"/>
      <c r="AK1686" s="56"/>
      <c r="AL1686" s="56"/>
      <c r="AM1686" s="56"/>
      <c r="AN1686" s="56"/>
      <c r="AO1686" s="56"/>
      <c r="AP1686" s="56"/>
      <c r="AQ1686" s="56"/>
      <c r="AR1686" s="56"/>
      <c r="AS1686" s="56"/>
      <c r="AT1686" s="56"/>
      <c r="AU1686" s="56"/>
      <c r="AV1686" s="56"/>
      <c r="AW1686" s="56"/>
      <c r="AX1686" s="56"/>
      <c r="AY1686" s="56"/>
      <c r="AZ1686" s="56"/>
      <c r="BA1686" s="56"/>
      <c r="BB1686" s="56"/>
      <c r="BC1686" s="56"/>
      <c r="BD1686" s="56"/>
      <c r="BE1686" s="56"/>
      <c r="BF1686" s="56"/>
      <c r="BG1686" s="56"/>
      <c r="BH1686" s="56"/>
      <c r="BI1686" s="56"/>
      <c r="BJ1686" s="56"/>
      <c r="BK1686" s="56"/>
      <c r="BL1686" s="56"/>
      <c r="BM1686" s="56"/>
      <c r="BN1686" s="56"/>
      <c r="BO1686" s="56"/>
      <c r="BP1686" s="56"/>
      <c r="BQ1686" s="56"/>
      <c r="BR1686" s="56"/>
      <c r="BS1686" s="56"/>
      <c r="BT1686" s="56"/>
      <c r="BU1686" s="56"/>
      <c r="BV1686" s="56"/>
      <c r="BW1686" s="56"/>
      <c r="BX1686" s="56"/>
      <c r="BY1686" s="56"/>
      <c r="BZ1686" s="56"/>
      <c r="CA1686" s="56"/>
      <c r="CB1686" s="56"/>
      <c r="CC1686" s="56"/>
      <c r="CD1686" s="56"/>
      <c r="CE1686" s="56"/>
      <c r="CF1686" s="56"/>
      <c r="CG1686" s="56"/>
      <c r="CH1686" s="56"/>
      <c r="CI1686" s="56"/>
      <c r="CJ1686" s="56"/>
      <c r="CK1686" s="56"/>
      <c r="CL1686" s="56"/>
      <c r="CM1686" s="56"/>
      <c r="CN1686" s="56"/>
      <c r="CO1686" s="56"/>
      <c r="CP1686" s="56"/>
      <c r="CQ1686" s="56"/>
      <c r="CR1686" s="56"/>
      <c r="CS1686" s="56"/>
      <c r="CT1686" s="56"/>
      <c r="CU1686" s="56"/>
      <c r="CV1686" s="56"/>
      <c r="CW1686" s="56"/>
      <c r="CX1686" s="56"/>
      <c r="CY1686" s="56"/>
      <c r="CZ1686" s="56"/>
      <c r="DA1686" s="56"/>
      <c r="DB1686" s="56"/>
      <c r="DC1686" s="56"/>
      <c r="DD1686" s="56"/>
      <c r="DE1686" s="56"/>
      <c r="DF1686" s="56"/>
      <c r="DG1686" s="56"/>
      <c r="DH1686" s="56"/>
      <c r="DI1686" s="56"/>
      <c r="DJ1686" s="56"/>
      <c r="DK1686" s="56"/>
      <c r="DL1686" s="56"/>
      <c r="DM1686" s="56"/>
      <c r="DN1686" s="56"/>
      <c r="DO1686" s="56"/>
      <c r="DP1686" s="56"/>
      <c r="DQ1686" s="56"/>
      <c r="DR1686" s="56"/>
      <c r="DS1686" s="56"/>
      <c r="DT1686" s="56"/>
      <c r="DU1686" s="56"/>
      <c r="DV1686" s="56"/>
      <c r="DW1686" s="56"/>
      <c r="DX1686" s="56"/>
      <c r="DY1686" s="56"/>
      <c r="DZ1686" s="56"/>
      <c r="EA1686" s="56"/>
      <c r="EB1686" s="56"/>
      <c r="EC1686" s="56"/>
      <c r="ED1686" s="56"/>
      <c r="EE1686" s="56"/>
      <c r="EF1686" s="56"/>
      <c r="EG1686" s="56"/>
      <c r="EH1686" s="56"/>
      <c r="EI1686" s="56"/>
      <c r="EJ1686" s="56"/>
      <c r="EK1686" s="56"/>
      <c r="EL1686" s="56"/>
      <c r="EM1686" s="56"/>
      <c r="EN1686" s="56"/>
      <c r="EO1686" s="56"/>
      <c r="EP1686" s="56"/>
      <c r="EQ1686" s="56"/>
      <c r="ER1686" s="56"/>
      <c r="ES1686" s="56"/>
      <c r="ET1686" s="56"/>
      <c r="EU1686" s="56"/>
      <c r="EV1686" s="56"/>
      <c r="EW1686" s="56"/>
      <c r="EX1686" s="56"/>
      <c r="EY1686" s="56"/>
      <c r="EZ1686" s="56"/>
      <c r="FA1686" s="56"/>
      <c r="FB1686" s="56"/>
      <c r="FC1686" s="56"/>
      <c r="FD1686" s="56"/>
      <c r="FE1686" s="56"/>
      <c r="FF1686" s="56"/>
      <c r="FG1686" s="56"/>
      <c r="FH1686" s="56"/>
      <c r="FI1686" s="56"/>
      <c r="FJ1686" s="56"/>
      <c r="FK1686" s="56"/>
      <c r="FL1686" s="56"/>
      <c r="FM1686" s="56"/>
      <c r="FN1686" s="56"/>
      <c r="FO1686" s="56"/>
      <c r="FP1686" s="56"/>
      <c r="FQ1686" s="56"/>
      <c r="FR1686" s="56"/>
      <c r="FS1686" s="56"/>
      <c r="FT1686" s="56"/>
      <c r="FU1686" s="56"/>
      <c r="FV1686" s="56"/>
      <c r="FW1686" s="56"/>
      <c r="FX1686" s="56"/>
      <c r="FY1686" s="56"/>
      <c r="FZ1686" s="56"/>
      <c r="GA1686" s="56"/>
      <c r="GB1686" s="56"/>
      <c r="GC1686" s="56"/>
      <c r="GD1686" s="56"/>
      <c r="GE1686" s="56"/>
      <c r="GF1686" s="56"/>
    </row>
    <row r="1687" spans="1:48" s="18" customFormat="1" ht="16.5" customHeight="1">
      <c r="A1687" s="50"/>
      <c r="B1687" s="93" t="s">
        <v>669</v>
      </c>
      <c r="C1687" s="16"/>
      <c r="D1687" s="52"/>
      <c r="E1687" s="52"/>
      <c r="F1687" s="52"/>
      <c r="G1687" s="52"/>
      <c r="H1687" s="52"/>
      <c r="I1687" s="52"/>
      <c r="J1687" s="52"/>
      <c r="K1687" s="52"/>
      <c r="L1687" s="60">
        <f>SUM(L1688:L1692)</f>
        <v>80</v>
      </c>
      <c r="M1687" s="60">
        <f>SUM(M1688:M1692)</f>
        <v>60</v>
      </c>
      <c r="N1687" s="60">
        <f>SUM(N1688:N1692)</f>
        <v>60</v>
      </c>
      <c r="O1687" s="60">
        <f>SUM(O1688:O1692)</f>
        <v>60</v>
      </c>
      <c r="P1687" s="60">
        <f>SUM(P1688:P1692)</f>
        <v>60</v>
      </c>
      <c r="T1687" s="47"/>
      <c r="U1687" s="47"/>
      <c r="V1687" s="47"/>
      <c r="W1687" s="47"/>
      <c r="X1687" s="47"/>
      <c r="Y1687" s="47"/>
      <c r="Z1687" s="47"/>
      <c r="AA1687" s="47"/>
      <c r="AB1687" s="47"/>
      <c r="AC1687" s="47"/>
      <c r="AD1687" s="47"/>
      <c r="AE1687" s="47"/>
      <c r="AF1687" s="47"/>
      <c r="AG1687" s="47"/>
      <c r="AH1687" s="47"/>
      <c r="AI1687" s="47"/>
      <c r="AJ1687" s="47"/>
      <c r="AK1687" s="47"/>
      <c r="AL1687" s="47"/>
      <c r="AM1687" s="47"/>
      <c r="AN1687" s="47"/>
      <c r="AO1687" s="47"/>
      <c r="AP1687" s="47"/>
      <c r="AQ1687" s="47"/>
      <c r="AR1687" s="47"/>
      <c r="AS1687" s="47"/>
      <c r="AT1687" s="47"/>
      <c r="AU1687" s="47"/>
      <c r="AV1687" s="47"/>
    </row>
    <row r="1688" spans="1:48" s="27" customFormat="1" ht="16.5" customHeight="1">
      <c r="A1688" s="12"/>
      <c r="B1688" s="97" t="s">
        <v>1318</v>
      </c>
      <c r="C1688" s="29" t="s">
        <v>598</v>
      </c>
      <c r="D1688" s="51"/>
      <c r="E1688" s="51"/>
      <c r="F1688" s="51">
        <v>79</v>
      </c>
      <c r="G1688" s="51">
        <v>84</v>
      </c>
      <c r="H1688" s="51">
        <v>94</v>
      </c>
      <c r="I1688" s="51">
        <v>105</v>
      </c>
      <c r="J1688" s="51"/>
      <c r="K1688" s="51">
        <v>115</v>
      </c>
      <c r="L1688" s="40">
        <v>20</v>
      </c>
      <c r="M1688" s="40">
        <v>15</v>
      </c>
      <c r="N1688" s="40">
        <v>15</v>
      </c>
      <c r="O1688" s="40">
        <v>15</v>
      </c>
      <c r="P1688" s="40">
        <v>15</v>
      </c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</row>
    <row r="1689" spans="1:48" s="27" customFormat="1" ht="16.5" customHeight="1">
      <c r="A1689" s="12"/>
      <c r="B1689" s="97" t="s">
        <v>599</v>
      </c>
      <c r="C1689" s="15" t="s">
        <v>600</v>
      </c>
      <c r="D1689" s="53"/>
      <c r="E1689" s="51"/>
      <c r="F1689" s="51">
        <v>66</v>
      </c>
      <c r="G1689" s="51">
        <v>70</v>
      </c>
      <c r="H1689" s="51">
        <v>75</v>
      </c>
      <c r="I1689" s="51">
        <v>80</v>
      </c>
      <c r="J1689" s="51"/>
      <c r="K1689" s="51">
        <v>85</v>
      </c>
      <c r="L1689" s="40">
        <v>20</v>
      </c>
      <c r="M1689" s="40">
        <v>15</v>
      </c>
      <c r="N1689" s="40">
        <v>15</v>
      </c>
      <c r="O1689" s="40">
        <v>15</v>
      </c>
      <c r="P1689" s="40">
        <v>15</v>
      </c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</row>
    <row r="1690" spans="1:48" s="27" customFormat="1" ht="16.5" customHeight="1">
      <c r="A1690" s="12"/>
      <c r="B1690" s="105" t="s">
        <v>792</v>
      </c>
      <c r="C1690" s="15" t="s">
        <v>793</v>
      </c>
      <c r="D1690" s="53"/>
      <c r="E1690" s="51"/>
      <c r="F1690" s="51">
        <v>66</v>
      </c>
      <c r="G1690" s="51">
        <v>70</v>
      </c>
      <c r="H1690" s="51">
        <v>75</v>
      </c>
      <c r="I1690" s="51">
        <v>80</v>
      </c>
      <c r="J1690" s="51"/>
      <c r="K1690" s="51">
        <v>85</v>
      </c>
      <c r="L1690" s="40">
        <v>10</v>
      </c>
      <c r="M1690" s="40">
        <v>10</v>
      </c>
      <c r="N1690" s="40">
        <v>10</v>
      </c>
      <c r="O1690" s="40">
        <v>10</v>
      </c>
      <c r="P1690" s="40">
        <v>10</v>
      </c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</row>
    <row r="1691" spans="1:48" s="27" customFormat="1" ht="16.5" customHeight="1">
      <c r="A1691" s="12"/>
      <c r="B1691" s="97" t="s">
        <v>1334</v>
      </c>
      <c r="C1691" s="29" t="s">
        <v>1335</v>
      </c>
      <c r="D1691" s="53"/>
      <c r="E1691" s="51"/>
      <c r="F1691" s="51"/>
      <c r="G1691" s="51"/>
      <c r="H1691" s="51"/>
      <c r="I1691" s="51"/>
      <c r="J1691" s="51"/>
      <c r="K1691" s="51"/>
      <c r="L1691" s="40">
        <v>20</v>
      </c>
      <c r="M1691" s="40">
        <v>15</v>
      </c>
      <c r="N1691" s="40">
        <v>15</v>
      </c>
      <c r="O1691" s="40">
        <v>15</v>
      </c>
      <c r="P1691" s="40">
        <v>15</v>
      </c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</row>
    <row r="1692" spans="1:48" s="27" customFormat="1" ht="16.5" customHeight="1">
      <c r="A1692" s="12"/>
      <c r="B1692" s="97" t="s">
        <v>620</v>
      </c>
      <c r="C1692" s="29" t="s">
        <v>621</v>
      </c>
      <c r="D1692" s="53"/>
      <c r="E1692" s="51"/>
      <c r="F1692" s="51"/>
      <c r="G1692" s="51"/>
      <c r="H1692" s="51"/>
      <c r="I1692" s="51"/>
      <c r="J1692" s="51"/>
      <c r="K1692" s="51"/>
      <c r="L1692" s="40">
        <v>10</v>
      </c>
      <c r="M1692" s="40">
        <v>5</v>
      </c>
      <c r="N1692" s="40">
        <v>5</v>
      </c>
      <c r="O1692" s="40">
        <v>5</v>
      </c>
      <c r="P1692" s="40">
        <v>5</v>
      </c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</row>
    <row r="1693" spans="1:48" s="18" customFormat="1" ht="19.5" customHeight="1">
      <c r="A1693" s="50"/>
      <c r="B1693" s="93" t="s">
        <v>670</v>
      </c>
      <c r="C1693" s="16"/>
      <c r="D1693" s="52"/>
      <c r="E1693" s="52"/>
      <c r="F1693" s="52"/>
      <c r="G1693" s="52"/>
      <c r="H1693" s="52"/>
      <c r="I1693" s="52"/>
      <c r="J1693" s="52"/>
      <c r="K1693" s="52"/>
      <c r="L1693" s="60">
        <f>SUM(L1694:L1697)</f>
        <v>15</v>
      </c>
      <c r="M1693" s="60">
        <f>SUM(M1694:M1697)</f>
        <v>15</v>
      </c>
      <c r="N1693" s="60">
        <f>SUM(N1694:N1697)</f>
        <v>15</v>
      </c>
      <c r="O1693" s="60">
        <f>SUM(O1694:O1697)</f>
        <v>15</v>
      </c>
      <c r="P1693" s="60">
        <f>SUM(P1694:P1697)</f>
        <v>15</v>
      </c>
      <c r="Q1693" s="23"/>
      <c r="R1693" s="23"/>
      <c r="S1693" s="17"/>
      <c r="T1693" s="47"/>
      <c r="U1693" s="47"/>
      <c r="V1693" s="47"/>
      <c r="W1693" s="47"/>
      <c r="X1693" s="47"/>
      <c r="Y1693" s="47"/>
      <c r="Z1693" s="47"/>
      <c r="AA1693" s="47"/>
      <c r="AB1693" s="47"/>
      <c r="AC1693" s="47"/>
      <c r="AD1693" s="47"/>
      <c r="AE1693" s="47"/>
      <c r="AF1693" s="47"/>
      <c r="AG1693" s="47"/>
      <c r="AH1693" s="47"/>
      <c r="AI1693" s="47"/>
      <c r="AJ1693" s="47"/>
      <c r="AK1693" s="47"/>
      <c r="AL1693" s="47"/>
      <c r="AM1693" s="47"/>
      <c r="AN1693" s="47"/>
      <c r="AO1693" s="47"/>
      <c r="AP1693" s="47"/>
      <c r="AQ1693" s="47"/>
      <c r="AR1693" s="47"/>
      <c r="AS1693" s="47"/>
      <c r="AT1693" s="47"/>
      <c r="AU1693" s="47"/>
      <c r="AV1693" s="47"/>
    </row>
    <row r="1694" spans="1:48" s="27" customFormat="1" ht="17.25" customHeight="1">
      <c r="A1694" s="12"/>
      <c r="B1694" s="111" t="s">
        <v>422</v>
      </c>
      <c r="C1694" s="15" t="s">
        <v>423</v>
      </c>
      <c r="D1694" s="51"/>
      <c r="E1694" s="51"/>
      <c r="F1694" s="51">
        <v>11</v>
      </c>
      <c r="G1694" s="51">
        <v>11</v>
      </c>
      <c r="H1694" s="51">
        <v>11</v>
      </c>
      <c r="I1694" s="51">
        <v>11</v>
      </c>
      <c r="J1694" s="51"/>
      <c r="K1694" s="51">
        <v>11</v>
      </c>
      <c r="L1694" s="40">
        <v>10</v>
      </c>
      <c r="M1694" s="40">
        <v>10</v>
      </c>
      <c r="N1694" s="40">
        <v>10</v>
      </c>
      <c r="O1694" s="40">
        <v>10</v>
      </c>
      <c r="P1694" s="40">
        <v>10</v>
      </c>
      <c r="Q1694" s="33" t="s">
        <v>556</v>
      </c>
      <c r="R1694" s="28" t="s">
        <v>556</v>
      </c>
      <c r="S1694" s="28" t="s">
        <v>556</v>
      </c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</row>
    <row r="1695" spans="1:48" s="27" customFormat="1" ht="30.75" customHeight="1">
      <c r="A1695" s="12"/>
      <c r="B1695" s="97" t="s">
        <v>280</v>
      </c>
      <c r="C1695" s="66" t="s">
        <v>281</v>
      </c>
      <c r="D1695" s="51"/>
      <c r="E1695" s="51"/>
      <c r="F1695" s="51"/>
      <c r="G1695" s="51"/>
      <c r="H1695" s="51"/>
      <c r="I1695" s="51"/>
      <c r="J1695" s="51"/>
      <c r="K1695" s="51"/>
      <c r="L1695" s="40">
        <v>3</v>
      </c>
      <c r="M1695" s="40">
        <v>3</v>
      </c>
      <c r="N1695" s="40">
        <v>3</v>
      </c>
      <c r="O1695" s="40">
        <v>3</v>
      </c>
      <c r="P1695" s="40">
        <v>3</v>
      </c>
      <c r="Q1695" s="33"/>
      <c r="R1695" s="33"/>
      <c r="S1695" s="33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</row>
    <row r="1696" spans="1:48" s="27" customFormat="1" ht="18.75" customHeight="1">
      <c r="A1696" s="12"/>
      <c r="B1696" s="97" t="s">
        <v>271</v>
      </c>
      <c r="C1696" s="29" t="s">
        <v>272</v>
      </c>
      <c r="D1696" s="51"/>
      <c r="E1696" s="51"/>
      <c r="F1696" s="51"/>
      <c r="G1696" s="51"/>
      <c r="H1696" s="51"/>
      <c r="I1696" s="51"/>
      <c r="J1696" s="51"/>
      <c r="K1696" s="51"/>
      <c r="L1696" s="40">
        <v>1</v>
      </c>
      <c r="M1696" s="40">
        <v>1</v>
      </c>
      <c r="N1696" s="40">
        <v>1</v>
      </c>
      <c r="O1696" s="40">
        <v>1</v>
      </c>
      <c r="P1696" s="40">
        <v>1</v>
      </c>
      <c r="Q1696" s="33"/>
      <c r="R1696" s="33"/>
      <c r="S1696" s="33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</row>
    <row r="1697" spans="1:48" s="27" customFormat="1" ht="18.75" customHeight="1">
      <c r="A1697" s="12"/>
      <c r="B1697" s="97" t="s">
        <v>561</v>
      </c>
      <c r="C1697" s="66" t="s">
        <v>804</v>
      </c>
      <c r="D1697" s="51"/>
      <c r="E1697" s="51"/>
      <c r="F1697" s="51"/>
      <c r="G1697" s="51"/>
      <c r="H1697" s="51"/>
      <c r="I1697" s="51"/>
      <c r="J1697" s="51"/>
      <c r="K1697" s="51"/>
      <c r="L1697" s="40">
        <v>1</v>
      </c>
      <c r="M1697" s="40">
        <v>1</v>
      </c>
      <c r="N1697" s="40">
        <v>1</v>
      </c>
      <c r="O1697" s="40">
        <v>1</v>
      </c>
      <c r="P1697" s="40">
        <v>1</v>
      </c>
      <c r="Q1697" s="33"/>
      <c r="R1697" s="33"/>
      <c r="S1697" s="33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</row>
    <row r="1698" spans="1:48" s="18" customFormat="1" ht="16.5" customHeight="1">
      <c r="A1698" s="50"/>
      <c r="B1698" s="93" t="s">
        <v>37</v>
      </c>
      <c r="C1698" s="16"/>
      <c r="D1698" s="52"/>
      <c r="E1698" s="52"/>
      <c r="F1698" s="52"/>
      <c r="G1698" s="52"/>
      <c r="H1698" s="52"/>
      <c r="I1698" s="52"/>
      <c r="J1698" s="52"/>
      <c r="K1698" s="52"/>
      <c r="L1698" s="60">
        <f>SUM(L1699:L1700)</f>
        <v>9</v>
      </c>
      <c r="M1698" s="60">
        <f>SUM(M1699:M1700)</f>
        <v>2</v>
      </c>
      <c r="N1698" s="60">
        <f>SUM(N1699:N1700)</f>
        <v>2</v>
      </c>
      <c r="O1698" s="60" t="s">
        <v>556</v>
      </c>
      <c r="P1698" s="60" t="s">
        <v>556</v>
      </c>
      <c r="Q1698" s="23"/>
      <c r="R1698" s="23"/>
      <c r="S1698" s="17"/>
      <c r="T1698" s="47"/>
      <c r="U1698" s="47"/>
      <c r="V1698" s="47"/>
      <c r="W1698" s="47"/>
      <c r="X1698" s="47"/>
      <c r="Y1698" s="47"/>
      <c r="Z1698" s="47"/>
      <c r="AA1698" s="47"/>
      <c r="AB1698" s="47"/>
      <c r="AC1698" s="47"/>
      <c r="AD1698" s="47"/>
      <c r="AE1698" s="47"/>
      <c r="AF1698" s="47"/>
      <c r="AG1698" s="47"/>
      <c r="AH1698" s="47"/>
      <c r="AI1698" s="47"/>
      <c r="AJ1698" s="47"/>
      <c r="AK1698" s="47"/>
      <c r="AL1698" s="47"/>
      <c r="AM1698" s="47"/>
      <c r="AN1698" s="47"/>
      <c r="AO1698" s="47"/>
      <c r="AP1698" s="47"/>
      <c r="AQ1698" s="47"/>
      <c r="AR1698" s="47"/>
      <c r="AS1698" s="47"/>
      <c r="AT1698" s="47"/>
      <c r="AU1698" s="47"/>
      <c r="AV1698" s="47"/>
    </row>
    <row r="1699" spans="1:48" s="27" customFormat="1" ht="16.5" customHeight="1">
      <c r="A1699" s="12"/>
      <c r="B1699" s="97" t="s">
        <v>38</v>
      </c>
      <c r="C1699" s="65" t="s">
        <v>457</v>
      </c>
      <c r="D1699" s="51"/>
      <c r="E1699" s="51"/>
      <c r="F1699" s="51"/>
      <c r="G1699" s="51">
        <v>11</v>
      </c>
      <c r="H1699" s="51">
        <v>11</v>
      </c>
      <c r="I1699" s="51">
        <v>11</v>
      </c>
      <c r="J1699" s="51"/>
      <c r="K1699" s="51">
        <v>11</v>
      </c>
      <c r="L1699" s="40">
        <v>2</v>
      </c>
      <c r="M1699" s="40">
        <v>2</v>
      </c>
      <c r="N1699" s="40">
        <v>2</v>
      </c>
      <c r="O1699" s="40" t="s">
        <v>556</v>
      </c>
      <c r="P1699" s="40" t="s">
        <v>556</v>
      </c>
      <c r="Q1699" s="30"/>
      <c r="R1699" s="30"/>
      <c r="S1699" s="30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</row>
    <row r="1700" spans="1:48" s="27" customFormat="1" ht="16.5" customHeight="1">
      <c r="A1700" s="12"/>
      <c r="B1700" s="97" t="s">
        <v>934</v>
      </c>
      <c r="C1700" s="65" t="s">
        <v>935</v>
      </c>
      <c r="D1700" s="51"/>
      <c r="E1700" s="51"/>
      <c r="F1700" s="51"/>
      <c r="G1700" s="51">
        <v>58</v>
      </c>
      <c r="H1700" s="51">
        <v>58</v>
      </c>
      <c r="I1700" s="51">
        <v>58</v>
      </c>
      <c r="J1700" s="51"/>
      <c r="K1700" s="51">
        <v>58</v>
      </c>
      <c r="L1700" s="40">
        <v>7</v>
      </c>
      <c r="M1700" s="40" t="s">
        <v>556</v>
      </c>
      <c r="N1700" s="40" t="s">
        <v>556</v>
      </c>
      <c r="O1700" s="40" t="s">
        <v>556</v>
      </c>
      <c r="P1700" s="40" t="s">
        <v>556</v>
      </c>
      <c r="Q1700" s="30"/>
      <c r="R1700" s="30"/>
      <c r="S1700" s="30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</row>
    <row r="1701" spans="1:188" s="57" customFormat="1" ht="18" customHeight="1">
      <c r="A1701" s="13">
        <v>2</v>
      </c>
      <c r="B1701" s="92" t="s">
        <v>247</v>
      </c>
      <c r="C1701" s="45"/>
      <c r="D1701" s="44">
        <v>191</v>
      </c>
      <c r="E1701" s="44"/>
      <c r="F1701" s="44"/>
      <c r="G1701" s="44"/>
      <c r="H1701" s="44"/>
      <c r="I1701" s="44"/>
      <c r="J1701" s="44"/>
      <c r="K1701" s="44"/>
      <c r="L1701" s="44">
        <f>L1702</f>
        <v>22</v>
      </c>
      <c r="M1701" s="44">
        <f>M1702</f>
        <v>22</v>
      </c>
      <c r="N1701" s="44">
        <f>N1702</f>
        <v>22</v>
      </c>
      <c r="O1701" s="44">
        <f>O1702</f>
        <v>22</v>
      </c>
      <c r="P1701" s="44">
        <f>P1702</f>
        <v>22</v>
      </c>
      <c r="Q1701" s="54" t="s">
        <v>648</v>
      </c>
      <c r="R1701" s="54">
        <v>1</v>
      </c>
      <c r="S1701" s="55" t="s">
        <v>442</v>
      </c>
      <c r="T1701" s="56"/>
      <c r="U1701" s="56"/>
      <c r="V1701" s="56"/>
      <c r="W1701" s="56"/>
      <c r="X1701" s="56"/>
      <c r="Y1701" s="56"/>
      <c r="Z1701" s="56"/>
      <c r="AA1701" s="56"/>
      <c r="AB1701" s="56"/>
      <c r="AC1701" s="56"/>
      <c r="AD1701" s="56"/>
      <c r="AE1701" s="56"/>
      <c r="AF1701" s="56"/>
      <c r="AG1701" s="56"/>
      <c r="AH1701" s="56"/>
      <c r="AI1701" s="56"/>
      <c r="AJ1701" s="56"/>
      <c r="AK1701" s="56"/>
      <c r="AL1701" s="56"/>
      <c r="AM1701" s="56"/>
      <c r="AN1701" s="56"/>
      <c r="AO1701" s="56"/>
      <c r="AP1701" s="56"/>
      <c r="AQ1701" s="56"/>
      <c r="AR1701" s="56"/>
      <c r="AS1701" s="56"/>
      <c r="AT1701" s="56"/>
      <c r="AU1701" s="56"/>
      <c r="AV1701" s="56"/>
      <c r="AW1701" s="56"/>
      <c r="AX1701" s="56"/>
      <c r="AY1701" s="56"/>
      <c r="AZ1701" s="56"/>
      <c r="BA1701" s="56"/>
      <c r="BB1701" s="56"/>
      <c r="BC1701" s="56"/>
      <c r="BD1701" s="56"/>
      <c r="BE1701" s="56"/>
      <c r="BF1701" s="56"/>
      <c r="BG1701" s="56"/>
      <c r="BH1701" s="56"/>
      <c r="BI1701" s="56"/>
      <c r="BJ1701" s="56"/>
      <c r="BK1701" s="56"/>
      <c r="BL1701" s="56"/>
      <c r="BM1701" s="56"/>
      <c r="BN1701" s="56"/>
      <c r="BO1701" s="56"/>
      <c r="BP1701" s="56"/>
      <c r="BQ1701" s="56"/>
      <c r="BR1701" s="56"/>
      <c r="BS1701" s="56"/>
      <c r="BT1701" s="56"/>
      <c r="BU1701" s="56"/>
      <c r="BV1701" s="56"/>
      <c r="BW1701" s="56"/>
      <c r="BX1701" s="56"/>
      <c r="BY1701" s="56"/>
      <c r="BZ1701" s="56"/>
      <c r="CA1701" s="56"/>
      <c r="CB1701" s="56"/>
      <c r="CC1701" s="56"/>
      <c r="CD1701" s="56"/>
      <c r="CE1701" s="56"/>
      <c r="CF1701" s="56"/>
      <c r="CG1701" s="56"/>
      <c r="CH1701" s="56"/>
      <c r="CI1701" s="56"/>
      <c r="CJ1701" s="56"/>
      <c r="CK1701" s="56"/>
      <c r="CL1701" s="56"/>
      <c r="CM1701" s="56"/>
      <c r="CN1701" s="56"/>
      <c r="CO1701" s="56"/>
      <c r="CP1701" s="56"/>
      <c r="CQ1701" s="56"/>
      <c r="CR1701" s="56"/>
      <c r="CS1701" s="56"/>
      <c r="CT1701" s="56"/>
      <c r="CU1701" s="56"/>
      <c r="CV1701" s="56"/>
      <c r="CW1701" s="56"/>
      <c r="CX1701" s="56"/>
      <c r="CY1701" s="56"/>
      <c r="CZ1701" s="56"/>
      <c r="DA1701" s="56"/>
      <c r="DB1701" s="56"/>
      <c r="DC1701" s="56"/>
      <c r="DD1701" s="56"/>
      <c r="DE1701" s="56"/>
      <c r="DF1701" s="56"/>
      <c r="DG1701" s="56"/>
      <c r="DH1701" s="56"/>
      <c r="DI1701" s="56"/>
      <c r="DJ1701" s="56"/>
      <c r="DK1701" s="56"/>
      <c r="DL1701" s="56"/>
      <c r="DM1701" s="56"/>
      <c r="DN1701" s="56"/>
      <c r="DO1701" s="56"/>
      <c r="DP1701" s="56"/>
      <c r="DQ1701" s="56"/>
      <c r="DR1701" s="56"/>
      <c r="DS1701" s="56"/>
      <c r="DT1701" s="56"/>
      <c r="DU1701" s="56"/>
      <c r="DV1701" s="56"/>
      <c r="DW1701" s="56"/>
      <c r="DX1701" s="56"/>
      <c r="DY1701" s="56"/>
      <c r="DZ1701" s="56"/>
      <c r="EA1701" s="56"/>
      <c r="EB1701" s="56"/>
      <c r="EC1701" s="56"/>
      <c r="ED1701" s="56"/>
      <c r="EE1701" s="56"/>
      <c r="EF1701" s="56"/>
      <c r="EG1701" s="56"/>
      <c r="EH1701" s="56"/>
      <c r="EI1701" s="56"/>
      <c r="EJ1701" s="56"/>
      <c r="EK1701" s="56"/>
      <c r="EL1701" s="56"/>
      <c r="EM1701" s="56"/>
      <c r="EN1701" s="56"/>
      <c r="EO1701" s="56"/>
      <c r="EP1701" s="56"/>
      <c r="EQ1701" s="56"/>
      <c r="ER1701" s="56"/>
      <c r="ES1701" s="56"/>
      <c r="ET1701" s="56"/>
      <c r="EU1701" s="56"/>
      <c r="EV1701" s="56"/>
      <c r="EW1701" s="56"/>
      <c r="EX1701" s="56"/>
      <c r="EY1701" s="56"/>
      <c r="EZ1701" s="56"/>
      <c r="FA1701" s="56"/>
      <c r="FB1701" s="56"/>
      <c r="FC1701" s="56"/>
      <c r="FD1701" s="56"/>
      <c r="FE1701" s="56"/>
      <c r="FF1701" s="56"/>
      <c r="FG1701" s="56"/>
      <c r="FH1701" s="56"/>
      <c r="FI1701" s="56"/>
      <c r="FJ1701" s="56"/>
      <c r="FK1701" s="56"/>
      <c r="FL1701" s="56"/>
      <c r="FM1701" s="56"/>
      <c r="FN1701" s="56"/>
      <c r="FO1701" s="56"/>
      <c r="FP1701" s="56"/>
      <c r="FQ1701" s="56"/>
      <c r="FR1701" s="56"/>
      <c r="FS1701" s="56"/>
      <c r="FT1701" s="56"/>
      <c r="FU1701" s="56"/>
      <c r="FV1701" s="56"/>
      <c r="FW1701" s="56"/>
      <c r="FX1701" s="56"/>
      <c r="FY1701" s="56"/>
      <c r="FZ1701" s="56"/>
      <c r="GA1701" s="56"/>
      <c r="GB1701" s="56"/>
      <c r="GC1701" s="56"/>
      <c r="GD1701" s="56"/>
      <c r="GE1701" s="56"/>
      <c r="GF1701" s="56"/>
    </row>
    <row r="1702" spans="1:48" s="18" customFormat="1" ht="18.75" customHeight="1">
      <c r="A1702" s="50"/>
      <c r="B1702" s="93" t="s">
        <v>670</v>
      </c>
      <c r="C1702" s="16"/>
      <c r="D1702" s="52"/>
      <c r="E1702" s="52"/>
      <c r="F1702" s="52"/>
      <c r="G1702" s="52"/>
      <c r="H1702" s="52"/>
      <c r="I1702" s="52"/>
      <c r="J1702" s="52"/>
      <c r="K1702" s="52"/>
      <c r="L1702" s="60">
        <f>SUM(L1703:L1707)</f>
        <v>22</v>
      </c>
      <c r="M1702" s="60">
        <f>SUM(M1703:M1707)</f>
        <v>22</v>
      </c>
      <c r="N1702" s="60">
        <f>SUM(N1703:N1707)</f>
        <v>22</v>
      </c>
      <c r="O1702" s="60">
        <f>SUM(O1703:O1707)</f>
        <v>22</v>
      </c>
      <c r="P1702" s="60">
        <f>SUM(P1703:P1707)</f>
        <v>22</v>
      </c>
      <c r="T1702" s="47"/>
      <c r="U1702" s="47"/>
      <c r="V1702" s="47"/>
      <c r="W1702" s="47"/>
      <c r="X1702" s="47"/>
      <c r="Y1702" s="47"/>
      <c r="Z1702" s="47"/>
      <c r="AA1702" s="47"/>
      <c r="AB1702" s="47"/>
      <c r="AC1702" s="47"/>
      <c r="AD1702" s="47"/>
      <c r="AE1702" s="47"/>
      <c r="AF1702" s="47"/>
      <c r="AG1702" s="47"/>
      <c r="AH1702" s="47"/>
      <c r="AI1702" s="47"/>
      <c r="AJ1702" s="47"/>
      <c r="AK1702" s="47"/>
      <c r="AL1702" s="47"/>
      <c r="AM1702" s="47"/>
      <c r="AN1702" s="47"/>
      <c r="AO1702" s="47"/>
      <c r="AP1702" s="47"/>
      <c r="AQ1702" s="47"/>
      <c r="AR1702" s="47"/>
      <c r="AS1702" s="47"/>
      <c r="AT1702" s="47"/>
      <c r="AU1702" s="47"/>
      <c r="AV1702" s="47"/>
    </row>
    <row r="1703" spans="1:48" s="27" customFormat="1" ht="15.75" customHeight="1">
      <c r="A1703" s="12"/>
      <c r="B1703" s="111" t="s">
        <v>422</v>
      </c>
      <c r="C1703" s="15" t="s">
        <v>423</v>
      </c>
      <c r="D1703" s="53"/>
      <c r="E1703" s="51"/>
      <c r="F1703" s="51"/>
      <c r="G1703" s="51"/>
      <c r="H1703" s="51"/>
      <c r="I1703" s="51"/>
      <c r="J1703" s="51"/>
      <c r="K1703" s="51"/>
      <c r="L1703" s="40">
        <v>15</v>
      </c>
      <c r="M1703" s="40">
        <v>15</v>
      </c>
      <c r="N1703" s="40">
        <v>15</v>
      </c>
      <c r="O1703" s="40">
        <v>15</v>
      </c>
      <c r="P1703" s="40">
        <v>15</v>
      </c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</row>
    <row r="1704" spans="1:48" s="27" customFormat="1" ht="29.25" customHeight="1">
      <c r="A1704" s="12"/>
      <c r="B1704" s="97" t="s">
        <v>280</v>
      </c>
      <c r="C1704" s="66" t="s">
        <v>281</v>
      </c>
      <c r="D1704" s="53"/>
      <c r="E1704" s="51"/>
      <c r="F1704" s="51"/>
      <c r="G1704" s="51"/>
      <c r="H1704" s="51"/>
      <c r="I1704" s="51"/>
      <c r="J1704" s="51"/>
      <c r="K1704" s="51"/>
      <c r="L1704" s="40">
        <v>4</v>
      </c>
      <c r="M1704" s="40">
        <v>4</v>
      </c>
      <c r="N1704" s="40">
        <v>4</v>
      </c>
      <c r="O1704" s="40">
        <v>4</v>
      </c>
      <c r="P1704" s="40">
        <v>4</v>
      </c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</row>
    <row r="1705" spans="1:48" s="27" customFormat="1" ht="18" customHeight="1">
      <c r="A1705" s="12"/>
      <c r="B1705" s="97" t="s">
        <v>271</v>
      </c>
      <c r="C1705" s="29" t="s">
        <v>272</v>
      </c>
      <c r="D1705" s="53"/>
      <c r="E1705" s="51"/>
      <c r="F1705" s="51"/>
      <c r="G1705" s="51"/>
      <c r="H1705" s="51"/>
      <c r="I1705" s="51"/>
      <c r="J1705" s="51"/>
      <c r="K1705" s="51"/>
      <c r="L1705" s="40">
        <v>1</v>
      </c>
      <c r="M1705" s="40">
        <v>1</v>
      </c>
      <c r="N1705" s="40">
        <v>1</v>
      </c>
      <c r="O1705" s="40">
        <v>1</v>
      </c>
      <c r="P1705" s="40">
        <v>1</v>
      </c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</row>
    <row r="1706" spans="1:48" s="27" customFormat="1" ht="18" customHeight="1">
      <c r="A1706" s="12"/>
      <c r="B1706" s="97" t="s">
        <v>67</v>
      </c>
      <c r="C1706" s="15" t="s">
        <v>68</v>
      </c>
      <c r="D1706" s="53"/>
      <c r="E1706" s="51"/>
      <c r="F1706" s="51"/>
      <c r="G1706" s="51"/>
      <c r="H1706" s="51"/>
      <c r="I1706" s="51"/>
      <c r="J1706" s="51"/>
      <c r="K1706" s="51"/>
      <c r="L1706" s="40">
        <v>1</v>
      </c>
      <c r="M1706" s="40">
        <v>1</v>
      </c>
      <c r="N1706" s="40">
        <v>1</v>
      </c>
      <c r="O1706" s="40">
        <v>1</v>
      </c>
      <c r="P1706" s="40">
        <v>1</v>
      </c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</row>
    <row r="1707" spans="1:48" s="27" customFormat="1" ht="15.75" customHeight="1">
      <c r="A1707" s="12"/>
      <c r="B1707" s="97" t="s">
        <v>561</v>
      </c>
      <c r="C1707" s="66" t="s">
        <v>804</v>
      </c>
      <c r="D1707" s="53"/>
      <c r="E1707" s="51"/>
      <c r="F1707" s="51"/>
      <c r="G1707" s="51"/>
      <c r="H1707" s="51"/>
      <c r="I1707" s="51"/>
      <c r="J1707" s="51"/>
      <c r="K1707" s="51"/>
      <c r="L1707" s="40">
        <v>1</v>
      </c>
      <c r="M1707" s="40">
        <v>1</v>
      </c>
      <c r="N1707" s="40">
        <v>1</v>
      </c>
      <c r="O1707" s="40">
        <v>1</v>
      </c>
      <c r="P1707" s="40">
        <v>1</v>
      </c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</row>
    <row r="1708" spans="1:188" s="57" customFormat="1" ht="18" customHeight="1">
      <c r="A1708" s="13">
        <v>3</v>
      </c>
      <c r="B1708" s="92" t="s">
        <v>82</v>
      </c>
      <c r="C1708" s="45"/>
      <c r="D1708" s="44">
        <v>1144</v>
      </c>
      <c r="E1708" s="44">
        <v>137</v>
      </c>
      <c r="F1708" s="44">
        <v>1115</v>
      </c>
      <c r="G1708" s="44">
        <v>1116</v>
      </c>
      <c r="H1708" s="44">
        <v>1020</v>
      </c>
      <c r="I1708" s="44">
        <v>1111</v>
      </c>
      <c r="J1708" s="44"/>
      <c r="K1708" s="44">
        <v>1112</v>
      </c>
      <c r="L1708" s="44">
        <f>SUM(L1709,L1726,L1733)</f>
        <v>70</v>
      </c>
      <c r="M1708" s="44">
        <f>SUM(M1709,M1726,M1733)</f>
        <v>69</v>
      </c>
      <c r="N1708" s="44">
        <f>SUM(N1709,N1726,N1733)</f>
        <v>80</v>
      </c>
      <c r="O1708" s="44">
        <f>SUM(O1709,O1726,O1733)</f>
        <v>52</v>
      </c>
      <c r="P1708" s="44">
        <f>SUM(P1709,P1726,P1733)</f>
        <v>70</v>
      </c>
      <c r="Q1708" s="54" t="s">
        <v>648</v>
      </c>
      <c r="R1708" s="54">
        <v>1</v>
      </c>
      <c r="S1708" s="55" t="s">
        <v>442</v>
      </c>
      <c r="T1708" s="56"/>
      <c r="U1708" s="56"/>
      <c r="V1708" s="56"/>
      <c r="W1708" s="56"/>
      <c r="X1708" s="56"/>
      <c r="Y1708" s="56"/>
      <c r="Z1708" s="56"/>
      <c r="AA1708" s="56"/>
      <c r="AB1708" s="56"/>
      <c r="AC1708" s="56"/>
      <c r="AD1708" s="56"/>
      <c r="AE1708" s="56"/>
      <c r="AF1708" s="56"/>
      <c r="AG1708" s="56"/>
      <c r="AH1708" s="56"/>
      <c r="AI1708" s="56"/>
      <c r="AJ1708" s="56"/>
      <c r="AK1708" s="56"/>
      <c r="AL1708" s="56"/>
      <c r="AM1708" s="56"/>
      <c r="AN1708" s="56"/>
      <c r="AO1708" s="56"/>
      <c r="AP1708" s="56"/>
      <c r="AQ1708" s="56"/>
      <c r="AR1708" s="56"/>
      <c r="AS1708" s="56"/>
      <c r="AT1708" s="56"/>
      <c r="AU1708" s="56"/>
      <c r="AV1708" s="56"/>
      <c r="AW1708" s="56"/>
      <c r="AX1708" s="56"/>
      <c r="AY1708" s="56"/>
      <c r="AZ1708" s="56"/>
      <c r="BA1708" s="56"/>
      <c r="BB1708" s="56"/>
      <c r="BC1708" s="56"/>
      <c r="BD1708" s="56"/>
      <c r="BE1708" s="56"/>
      <c r="BF1708" s="56"/>
      <c r="BG1708" s="56"/>
      <c r="BH1708" s="56"/>
      <c r="BI1708" s="56"/>
      <c r="BJ1708" s="56"/>
      <c r="BK1708" s="56"/>
      <c r="BL1708" s="56"/>
      <c r="BM1708" s="56"/>
      <c r="BN1708" s="56"/>
      <c r="BO1708" s="56"/>
      <c r="BP1708" s="56"/>
      <c r="BQ1708" s="56"/>
      <c r="BR1708" s="56"/>
      <c r="BS1708" s="56"/>
      <c r="BT1708" s="56"/>
      <c r="BU1708" s="56"/>
      <c r="BV1708" s="56"/>
      <c r="BW1708" s="56"/>
      <c r="BX1708" s="56"/>
      <c r="BY1708" s="56"/>
      <c r="BZ1708" s="56"/>
      <c r="CA1708" s="56"/>
      <c r="CB1708" s="56"/>
      <c r="CC1708" s="56"/>
      <c r="CD1708" s="56"/>
      <c r="CE1708" s="56"/>
      <c r="CF1708" s="56"/>
      <c r="CG1708" s="56"/>
      <c r="CH1708" s="56"/>
      <c r="CI1708" s="56"/>
      <c r="CJ1708" s="56"/>
      <c r="CK1708" s="56"/>
      <c r="CL1708" s="56"/>
      <c r="CM1708" s="56"/>
      <c r="CN1708" s="56"/>
      <c r="CO1708" s="56"/>
      <c r="CP1708" s="56"/>
      <c r="CQ1708" s="56"/>
      <c r="CR1708" s="56"/>
      <c r="CS1708" s="56"/>
      <c r="CT1708" s="56"/>
      <c r="CU1708" s="56"/>
      <c r="CV1708" s="56"/>
      <c r="CW1708" s="56"/>
      <c r="CX1708" s="56"/>
      <c r="CY1708" s="56"/>
      <c r="CZ1708" s="56"/>
      <c r="DA1708" s="56"/>
      <c r="DB1708" s="56"/>
      <c r="DC1708" s="56"/>
      <c r="DD1708" s="56"/>
      <c r="DE1708" s="56"/>
      <c r="DF1708" s="56"/>
      <c r="DG1708" s="56"/>
      <c r="DH1708" s="56"/>
      <c r="DI1708" s="56"/>
      <c r="DJ1708" s="56"/>
      <c r="DK1708" s="56"/>
      <c r="DL1708" s="56"/>
      <c r="DM1708" s="56"/>
      <c r="DN1708" s="56"/>
      <c r="DO1708" s="56"/>
      <c r="DP1708" s="56"/>
      <c r="DQ1708" s="56"/>
      <c r="DR1708" s="56"/>
      <c r="DS1708" s="56"/>
      <c r="DT1708" s="56"/>
      <c r="DU1708" s="56"/>
      <c r="DV1708" s="56"/>
      <c r="DW1708" s="56"/>
      <c r="DX1708" s="56"/>
      <c r="DY1708" s="56"/>
      <c r="DZ1708" s="56"/>
      <c r="EA1708" s="56"/>
      <c r="EB1708" s="56"/>
      <c r="EC1708" s="56"/>
      <c r="ED1708" s="56"/>
      <c r="EE1708" s="56"/>
      <c r="EF1708" s="56"/>
      <c r="EG1708" s="56"/>
      <c r="EH1708" s="56"/>
      <c r="EI1708" s="56"/>
      <c r="EJ1708" s="56"/>
      <c r="EK1708" s="56"/>
      <c r="EL1708" s="56"/>
      <c r="EM1708" s="56"/>
      <c r="EN1708" s="56"/>
      <c r="EO1708" s="56"/>
      <c r="EP1708" s="56"/>
      <c r="EQ1708" s="56"/>
      <c r="ER1708" s="56"/>
      <c r="ES1708" s="56"/>
      <c r="ET1708" s="56"/>
      <c r="EU1708" s="56"/>
      <c r="EV1708" s="56"/>
      <c r="EW1708" s="56"/>
      <c r="EX1708" s="56"/>
      <c r="EY1708" s="56"/>
      <c r="EZ1708" s="56"/>
      <c r="FA1708" s="56"/>
      <c r="FB1708" s="56"/>
      <c r="FC1708" s="56"/>
      <c r="FD1708" s="56"/>
      <c r="FE1708" s="56"/>
      <c r="FF1708" s="56"/>
      <c r="FG1708" s="56"/>
      <c r="FH1708" s="56"/>
      <c r="FI1708" s="56"/>
      <c r="FJ1708" s="56"/>
      <c r="FK1708" s="56"/>
      <c r="FL1708" s="56"/>
      <c r="FM1708" s="56"/>
      <c r="FN1708" s="56"/>
      <c r="FO1708" s="56"/>
      <c r="FP1708" s="56"/>
      <c r="FQ1708" s="56"/>
      <c r="FR1708" s="56"/>
      <c r="FS1708" s="56"/>
      <c r="FT1708" s="56"/>
      <c r="FU1708" s="56"/>
      <c r="FV1708" s="56"/>
      <c r="FW1708" s="56"/>
      <c r="FX1708" s="56"/>
      <c r="FY1708" s="56"/>
      <c r="FZ1708" s="56"/>
      <c r="GA1708" s="56"/>
      <c r="GB1708" s="56"/>
      <c r="GC1708" s="56"/>
      <c r="GD1708" s="56"/>
      <c r="GE1708" s="56"/>
      <c r="GF1708" s="56"/>
    </row>
    <row r="1709" spans="1:48" s="18" customFormat="1" ht="18.75" customHeight="1">
      <c r="A1709" s="50"/>
      <c r="B1709" s="93" t="s">
        <v>669</v>
      </c>
      <c r="C1709" s="16"/>
      <c r="D1709" s="52"/>
      <c r="E1709" s="52"/>
      <c r="F1709" s="52"/>
      <c r="G1709" s="52"/>
      <c r="H1709" s="52"/>
      <c r="I1709" s="52"/>
      <c r="J1709" s="52"/>
      <c r="K1709" s="52"/>
      <c r="L1709" s="60">
        <f>SUM(L1710:L1725)</f>
        <v>36</v>
      </c>
      <c r="M1709" s="60">
        <f>SUM(M1710:M1725)</f>
        <v>38</v>
      </c>
      <c r="N1709" s="60">
        <f>SUM(N1710:N1725)</f>
        <v>55</v>
      </c>
      <c r="O1709" s="60">
        <f>SUM(O1710:O1725)</f>
        <v>30</v>
      </c>
      <c r="P1709" s="60">
        <f>SUM(P1710:P1725)</f>
        <v>38</v>
      </c>
      <c r="T1709" s="47"/>
      <c r="U1709" s="47"/>
      <c r="V1709" s="47"/>
      <c r="W1709" s="47"/>
      <c r="X1709" s="47"/>
      <c r="Y1709" s="47"/>
      <c r="Z1709" s="47"/>
      <c r="AA1709" s="47"/>
      <c r="AB1709" s="47"/>
      <c r="AC1709" s="47"/>
      <c r="AD1709" s="47"/>
      <c r="AE1709" s="47"/>
      <c r="AF1709" s="47"/>
      <c r="AG1709" s="47"/>
      <c r="AH1709" s="47"/>
      <c r="AI1709" s="47"/>
      <c r="AJ1709" s="47"/>
      <c r="AK1709" s="47"/>
      <c r="AL1709" s="47"/>
      <c r="AM1709" s="47"/>
      <c r="AN1709" s="47"/>
      <c r="AO1709" s="47"/>
      <c r="AP1709" s="47"/>
      <c r="AQ1709" s="47"/>
      <c r="AR1709" s="47"/>
      <c r="AS1709" s="47"/>
      <c r="AT1709" s="47"/>
      <c r="AU1709" s="47"/>
      <c r="AV1709" s="47"/>
    </row>
    <row r="1710" spans="1:48" s="27" customFormat="1" ht="15.75" customHeight="1">
      <c r="A1710" s="12"/>
      <c r="B1710" s="97" t="s">
        <v>899</v>
      </c>
      <c r="C1710" s="29" t="s">
        <v>900</v>
      </c>
      <c r="D1710" s="51"/>
      <c r="E1710" s="51"/>
      <c r="F1710" s="51">
        <v>42</v>
      </c>
      <c r="G1710" s="51">
        <v>42</v>
      </c>
      <c r="H1710" s="51">
        <v>43</v>
      </c>
      <c r="I1710" s="51">
        <v>43</v>
      </c>
      <c r="J1710" s="51"/>
      <c r="K1710" s="51">
        <v>43</v>
      </c>
      <c r="L1710" s="40" t="s">
        <v>556</v>
      </c>
      <c r="M1710" s="40" t="s">
        <v>556</v>
      </c>
      <c r="N1710" s="40">
        <v>1</v>
      </c>
      <c r="O1710" s="40" t="s">
        <v>556</v>
      </c>
      <c r="P1710" s="40" t="s">
        <v>556</v>
      </c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</row>
    <row r="1711" spans="1:48" s="27" customFormat="1" ht="15.75" customHeight="1">
      <c r="A1711" s="12"/>
      <c r="B1711" s="97" t="s">
        <v>1301</v>
      </c>
      <c r="C1711" s="29" t="s">
        <v>1302</v>
      </c>
      <c r="D1711" s="51"/>
      <c r="E1711" s="51"/>
      <c r="F1711" s="51"/>
      <c r="G1711" s="51"/>
      <c r="H1711" s="51"/>
      <c r="I1711" s="51"/>
      <c r="J1711" s="51"/>
      <c r="K1711" s="51"/>
      <c r="L1711" s="40">
        <v>12</v>
      </c>
      <c r="M1711" s="40">
        <v>5</v>
      </c>
      <c r="N1711" s="40">
        <v>8</v>
      </c>
      <c r="O1711" s="40">
        <v>9</v>
      </c>
      <c r="P1711" s="40">
        <v>10</v>
      </c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</row>
    <row r="1712" spans="1:48" s="27" customFormat="1" ht="15.75" customHeight="1">
      <c r="A1712" s="12"/>
      <c r="B1712" s="97" t="s">
        <v>897</v>
      </c>
      <c r="C1712" s="15" t="s">
        <v>898</v>
      </c>
      <c r="D1712" s="51"/>
      <c r="E1712" s="51"/>
      <c r="F1712" s="51"/>
      <c r="G1712" s="51"/>
      <c r="H1712" s="51"/>
      <c r="I1712" s="51"/>
      <c r="J1712" s="51"/>
      <c r="K1712" s="51"/>
      <c r="L1712" s="40">
        <v>2</v>
      </c>
      <c r="M1712" s="40">
        <v>2</v>
      </c>
      <c r="N1712" s="40">
        <v>4</v>
      </c>
      <c r="O1712" s="40">
        <v>1</v>
      </c>
      <c r="P1712" s="40">
        <v>3</v>
      </c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</row>
    <row r="1713" spans="1:48" s="27" customFormat="1" ht="15.75" customHeight="1">
      <c r="A1713" s="12"/>
      <c r="B1713" s="97" t="s">
        <v>1320</v>
      </c>
      <c r="C1713" s="29" t="s">
        <v>1322</v>
      </c>
      <c r="D1713" s="51"/>
      <c r="E1713" s="51"/>
      <c r="F1713" s="51"/>
      <c r="G1713" s="51"/>
      <c r="H1713" s="51"/>
      <c r="I1713" s="51"/>
      <c r="J1713" s="51"/>
      <c r="K1713" s="51"/>
      <c r="L1713" s="40">
        <v>3</v>
      </c>
      <c r="M1713" s="40">
        <v>1</v>
      </c>
      <c r="N1713" s="40">
        <v>3</v>
      </c>
      <c r="O1713" s="40">
        <v>3</v>
      </c>
      <c r="P1713" s="40">
        <v>1</v>
      </c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</row>
    <row r="1714" spans="1:48" s="27" customFormat="1" ht="15.75" customHeight="1">
      <c r="A1714" s="12"/>
      <c r="B1714" s="97" t="s">
        <v>930</v>
      </c>
      <c r="C1714" s="29" t="s">
        <v>931</v>
      </c>
      <c r="D1714" s="51"/>
      <c r="E1714" s="51"/>
      <c r="F1714" s="51"/>
      <c r="G1714" s="51"/>
      <c r="H1714" s="51"/>
      <c r="I1714" s="51"/>
      <c r="J1714" s="51"/>
      <c r="K1714" s="51"/>
      <c r="L1714" s="40">
        <v>2</v>
      </c>
      <c r="M1714" s="40">
        <v>8</v>
      </c>
      <c r="N1714" s="40">
        <v>11</v>
      </c>
      <c r="O1714" s="40">
        <v>6</v>
      </c>
      <c r="P1714" s="40">
        <v>7</v>
      </c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</row>
    <row r="1715" spans="1:48" s="27" customFormat="1" ht="15.75" customHeight="1">
      <c r="A1715" s="12"/>
      <c r="B1715" s="105" t="s">
        <v>421</v>
      </c>
      <c r="C1715" s="15" t="s">
        <v>1315</v>
      </c>
      <c r="D1715" s="51"/>
      <c r="E1715" s="51"/>
      <c r="F1715" s="51"/>
      <c r="G1715" s="51"/>
      <c r="H1715" s="51"/>
      <c r="I1715" s="51"/>
      <c r="J1715" s="51"/>
      <c r="K1715" s="51"/>
      <c r="L1715" s="40" t="s">
        <v>556</v>
      </c>
      <c r="M1715" s="40" t="s">
        <v>556</v>
      </c>
      <c r="N1715" s="40">
        <v>1</v>
      </c>
      <c r="O1715" s="40" t="s">
        <v>556</v>
      </c>
      <c r="P1715" s="40">
        <v>1</v>
      </c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</row>
    <row r="1716" spans="1:48" s="27" customFormat="1" ht="15.75" customHeight="1">
      <c r="A1716" s="12"/>
      <c r="B1716" s="97" t="s">
        <v>1304</v>
      </c>
      <c r="C1716" s="29" t="s">
        <v>1305</v>
      </c>
      <c r="D1716" s="51"/>
      <c r="E1716" s="51"/>
      <c r="F1716" s="51"/>
      <c r="G1716" s="51"/>
      <c r="H1716" s="51"/>
      <c r="I1716" s="51"/>
      <c r="J1716" s="51"/>
      <c r="K1716" s="51"/>
      <c r="L1716" s="40" t="s">
        <v>556</v>
      </c>
      <c r="M1716" s="40">
        <v>1</v>
      </c>
      <c r="N1716" s="40">
        <v>2</v>
      </c>
      <c r="O1716" s="40">
        <v>1</v>
      </c>
      <c r="P1716" s="40" t="s">
        <v>556</v>
      </c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</row>
    <row r="1717" spans="1:48" s="27" customFormat="1" ht="15.75" customHeight="1">
      <c r="A1717" s="12"/>
      <c r="B1717" s="97" t="s">
        <v>448</v>
      </c>
      <c r="C1717" s="29" t="s">
        <v>449</v>
      </c>
      <c r="D1717" s="51"/>
      <c r="E1717" s="51"/>
      <c r="F1717" s="51"/>
      <c r="G1717" s="51"/>
      <c r="H1717" s="51"/>
      <c r="I1717" s="51"/>
      <c r="J1717" s="51"/>
      <c r="K1717" s="51"/>
      <c r="L1717" s="40" t="s">
        <v>556</v>
      </c>
      <c r="M1717" s="40" t="s">
        <v>556</v>
      </c>
      <c r="N1717" s="40" t="s">
        <v>556</v>
      </c>
      <c r="O1717" s="40">
        <v>2</v>
      </c>
      <c r="P1717" s="40" t="s">
        <v>556</v>
      </c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</row>
    <row r="1718" spans="1:48" s="27" customFormat="1" ht="15.75" customHeight="1">
      <c r="A1718" s="12"/>
      <c r="B1718" s="105" t="s">
        <v>792</v>
      </c>
      <c r="C1718" s="15" t="s">
        <v>793</v>
      </c>
      <c r="D1718" s="51"/>
      <c r="E1718" s="51"/>
      <c r="F1718" s="51"/>
      <c r="G1718" s="51"/>
      <c r="H1718" s="51"/>
      <c r="I1718" s="51"/>
      <c r="J1718" s="51"/>
      <c r="K1718" s="51"/>
      <c r="L1718" s="40" t="s">
        <v>556</v>
      </c>
      <c r="M1718" s="40" t="s">
        <v>556</v>
      </c>
      <c r="N1718" s="40" t="s">
        <v>556</v>
      </c>
      <c r="O1718" s="40">
        <v>1</v>
      </c>
      <c r="P1718" s="40" t="s">
        <v>556</v>
      </c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</row>
    <row r="1719" spans="1:48" s="27" customFormat="1" ht="15.75" customHeight="1">
      <c r="A1719" s="12"/>
      <c r="B1719" s="97" t="s">
        <v>564</v>
      </c>
      <c r="C1719" s="29" t="s">
        <v>565</v>
      </c>
      <c r="D1719" s="51"/>
      <c r="E1719" s="51"/>
      <c r="F1719" s="51"/>
      <c r="G1719" s="51"/>
      <c r="H1719" s="51"/>
      <c r="I1719" s="51"/>
      <c r="J1719" s="51"/>
      <c r="K1719" s="51"/>
      <c r="L1719" s="40">
        <v>3</v>
      </c>
      <c r="M1719" s="40">
        <v>4</v>
      </c>
      <c r="N1719" s="40">
        <v>3</v>
      </c>
      <c r="O1719" s="40">
        <v>1</v>
      </c>
      <c r="P1719" s="40">
        <v>2</v>
      </c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</row>
    <row r="1720" spans="1:48" s="27" customFormat="1" ht="15.75" customHeight="1">
      <c r="A1720" s="12"/>
      <c r="B1720" s="97" t="s">
        <v>1316</v>
      </c>
      <c r="C1720" s="29" t="s">
        <v>1317</v>
      </c>
      <c r="D1720" s="51"/>
      <c r="E1720" s="51"/>
      <c r="F1720" s="51"/>
      <c r="G1720" s="51"/>
      <c r="H1720" s="51"/>
      <c r="I1720" s="51"/>
      <c r="J1720" s="51"/>
      <c r="K1720" s="51"/>
      <c r="L1720" s="40">
        <v>3</v>
      </c>
      <c r="M1720" s="40">
        <v>5</v>
      </c>
      <c r="N1720" s="40">
        <v>5</v>
      </c>
      <c r="O1720" s="40">
        <v>4</v>
      </c>
      <c r="P1720" s="40">
        <v>1</v>
      </c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</row>
    <row r="1721" spans="1:48" s="27" customFormat="1" ht="15.75" customHeight="1">
      <c r="A1721" s="12"/>
      <c r="B1721" s="105" t="s">
        <v>1331</v>
      </c>
      <c r="C1721" s="15">
        <v>17050137</v>
      </c>
      <c r="D1721" s="51"/>
      <c r="E1721" s="51"/>
      <c r="F1721" s="51"/>
      <c r="G1721" s="51"/>
      <c r="H1721" s="51"/>
      <c r="I1721" s="51"/>
      <c r="J1721" s="51"/>
      <c r="K1721" s="51"/>
      <c r="L1721" s="40" t="s">
        <v>556</v>
      </c>
      <c r="M1721" s="40" t="s">
        <v>556</v>
      </c>
      <c r="N1721" s="40">
        <v>1</v>
      </c>
      <c r="O1721" s="40" t="s">
        <v>556</v>
      </c>
      <c r="P1721" s="40" t="s">
        <v>556</v>
      </c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</row>
    <row r="1722" spans="1:48" s="27" customFormat="1" ht="15.75" customHeight="1">
      <c r="A1722" s="12"/>
      <c r="B1722" s="97" t="s">
        <v>1303</v>
      </c>
      <c r="C1722" s="29" t="s">
        <v>1308</v>
      </c>
      <c r="D1722" s="53"/>
      <c r="E1722" s="51"/>
      <c r="F1722" s="51">
        <v>25</v>
      </c>
      <c r="G1722" s="51">
        <v>25</v>
      </c>
      <c r="H1722" s="51">
        <v>26</v>
      </c>
      <c r="I1722" s="51">
        <v>26</v>
      </c>
      <c r="J1722" s="51"/>
      <c r="K1722" s="51">
        <v>26</v>
      </c>
      <c r="L1722" s="40">
        <v>2</v>
      </c>
      <c r="M1722" s="40">
        <v>2</v>
      </c>
      <c r="N1722" s="40">
        <v>3</v>
      </c>
      <c r="O1722" s="40">
        <v>1</v>
      </c>
      <c r="P1722" s="40">
        <v>3</v>
      </c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</row>
    <row r="1723" spans="1:48" s="27" customFormat="1" ht="15.75" customHeight="1">
      <c r="A1723" s="12"/>
      <c r="B1723" s="97" t="s">
        <v>1051</v>
      </c>
      <c r="C1723" s="29" t="s">
        <v>1052</v>
      </c>
      <c r="D1723" s="53"/>
      <c r="E1723" s="51"/>
      <c r="F1723" s="51">
        <v>40</v>
      </c>
      <c r="G1723" s="51">
        <v>40</v>
      </c>
      <c r="H1723" s="51">
        <v>42</v>
      </c>
      <c r="I1723" s="51">
        <v>42</v>
      </c>
      <c r="J1723" s="51"/>
      <c r="K1723" s="51">
        <v>42</v>
      </c>
      <c r="L1723" s="40">
        <v>5</v>
      </c>
      <c r="M1723" s="40">
        <v>7</v>
      </c>
      <c r="N1723" s="40">
        <v>8</v>
      </c>
      <c r="O1723" s="40">
        <v>1</v>
      </c>
      <c r="P1723" s="40">
        <v>6</v>
      </c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</row>
    <row r="1724" spans="1:48" s="27" customFormat="1" ht="15.75" customHeight="1">
      <c r="A1724" s="12"/>
      <c r="B1724" s="97" t="s">
        <v>901</v>
      </c>
      <c r="C1724" s="29" t="s">
        <v>902</v>
      </c>
      <c r="D1724" s="53"/>
      <c r="E1724" s="51"/>
      <c r="F1724" s="51">
        <v>37</v>
      </c>
      <c r="G1724" s="51">
        <v>37</v>
      </c>
      <c r="H1724" s="51">
        <v>37</v>
      </c>
      <c r="I1724" s="51">
        <v>37</v>
      </c>
      <c r="J1724" s="51"/>
      <c r="K1724" s="51">
        <v>37</v>
      </c>
      <c r="L1724" s="40">
        <v>2</v>
      </c>
      <c r="M1724" s="40">
        <v>2</v>
      </c>
      <c r="N1724" s="40">
        <v>2</v>
      </c>
      <c r="O1724" s="40" t="s">
        <v>556</v>
      </c>
      <c r="P1724" s="40">
        <v>2</v>
      </c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</row>
    <row r="1725" spans="1:48" s="27" customFormat="1" ht="15.75" customHeight="1">
      <c r="A1725" s="12"/>
      <c r="B1725" s="97" t="s">
        <v>11</v>
      </c>
      <c r="C1725" s="29" t="s">
        <v>1302</v>
      </c>
      <c r="D1725" s="53"/>
      <c r="E1725" s="51"/>
      <c r="F1725" s="51">
        <v>41</v>
      </c>
      <c r="G1725" s="51">
        <v>41</v>
      </c>
      <c r="H1725" s="51">
        <v>42</v>
      </c>
      <c r="I1725" s="51">
        <v>42</v>
      </c>
      <c r="J1725" s="51"/>
      <c r="K1725" s="51">
        <v>42</v>
      </c>
      <c r="L1725" s="40">
        <v>2</v>
      </c>
      <c r="M1725" s="40">
        <v>1</v>
      </c>
      <c r="N1725" s="40">
        <v>3</v>
      </c>
      <c r="O1725" s="40" t="s">
        <v>556</v>
      </c>
      <c r="P1725" s="40">
        <v>2</v>
      </c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</row>
    <row r="1726" spans="1:48" s="18" customFormat="1" ht="19.5" customHeight="1">
      <c r="A1726" s="50"/>
      <c r="B1726" s="93" t="s">
        <v>670</v>
      </c>
      <c r="C1726" s="16"/>
      <c r="D1726" s="52"/>
      <c r="E1726" s="52"/>
      <c r="F1726" s="52"/>
      <c r="G1726" s="52"/>
      <c r="H1726" s="52"/>
      <c r="I1726" s="52"/>
      <c r="J1726" s="52"/>
      <c r="K1726" s="52"/>
      <c r="L1726" s="60">
        <f>SUM(L1727:L1732)</f>
        <v>30</v>
      </c>
      <c r="M1726" s="60">
        <f>SUM(M1727:M1732)</f>
        <v>27</v>
      </c>
      <c r="N1726" s="60">
        <f>SUM(N1727:N1732)</f>
        <v>20</v>
      </c>
      <c r="O1726" s="60">
        <f>SUM(O1727:O1732)</f>
        <v>17</v>
      </c>
      <c r="P1726" s="60">
        <f>SUM(P1727:P1732)</f>
        <v>27</v>
      </c>
      <c r="Q1726" s="23"/>
      <c r="R1726" s="23"/>
      <c r="S1726" s="17"/>
      <c r="T1726" s="47"/>
      <c r="U1726" s="47"/>
      <c r="V1726" s="47"/>
      <c r="W1726" s="47"/>
      <c r="X1726" s="47"/>
      <c r="Y1726" s="47"/>
      <c r="Z1726" s="47"/>
      <c r="AA1726" s="47"/>
      <c r="AB1726" s="47"/>
      <c r="AC1726" s="47"/>
      <c r="AD1726" s="47"/>
      <c r="AE1726" s="47"/>
      <c r="AF1726" s="47"/>
      <c r="AG1726" s="47"/>
      <c r="AH1726" s="47"/>
      <c r="AI1726" s="47"/>
      <c r="AJ1726" s="47"/>
      <c r="AK1726" s="47"/>
      <c r="AL1726" s="47"/>
      <c r="AM1726" s="47"/>
      <c r="AN1726" s="47"/>
      <c r="AO1726" s="47"/>
      <c r="AP1726" s="47"/>
      <c r="AQ1726" s="47"/>
      <c r="AR1726" s="47"/>
      <c r="AS1726" s="47"/>
      <c r="AT1726" s="47"/>
      <c r="AU1726" s="47"/>
      <c r="AV1726" s="47"/>
    </row>
    <row r="1727" spans="1:48" s="27" customFormat="1" ht="30.75" customHeight="1">
      <c r="A1727" s="12"/>
      <c r="B1727" s="107" t="s">
        <v>144</v>
      </c>
      <c r="C1727" s="15" t="s">
        <v>145</v>
      </c>
      <c r="D1727" s="51"/>
      <c r="E1727" s="51"/>
      <c r="F1727" s="51">
        <v>11</v>
      </c>
      <c r="G1727" s="51">
        <v>11</v>
      </c>
      <c r="H1727" s="51">
        <v>11</v>
      </c>
      <c r="I1727" s="51">
        <v>11</v>
      </c>
      <c r="J1727" s="51"/>
      <c r="K1727" s="51">
        <v>11</v>
      </c>
      <c r="L1727" s="40">
        <v>14</v>
      </c>
      <c r="M1727" s="40">
        <v>12</v>
      </c>
      <c r="N1727" s="40">
        <v>12</v>
      </c>
      <c r="O1727" s="40">
        <v>10</v>
      </c>
      <c r="P1727" s="40">
        <v>12</v>
      </c>
      <c r="Q1727" s="33" t="s">
        <v>556</v>
      </c>
      <c r="R1727" s="28" t="s">
        <v>556</v>
      </c>
      <c r="S1727" s="28" t="s">
        <v>556</v>
      </c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</row>
    <row r="1728" spans="1:48" s="27" customFormat="1" ht="17.25" customHeight="1">
      <c r="A1728" s="12"/>
      <c r="B1728" s="97" t="s">
        <v>566</v>
      </c>
      <c r="C1728" s="15" t="s">
        <v>567</v>
      </c>
      <c r="D1728" s="51"/>
      <c r="E1728" s="51"/>
      <c r="F1728" s="51"/>
      <c r="G1728" s="51"/>
      <c r="H1728" s="51"/>
      <c r="I1728" s="51"/>
      <c r="J1728" s="51"/>
      <c r="K1728" s="51"/>
      <c r="L1728" s="40" t="s">
        <v>556</v>
      </c>
      <c r="M1728" s="40" t="s">
        <v>556</v>
      </c>
      <c r="N1728" s="40" t="s">
        <v>556</v>
      </c>
      <c r="O1728" s="40" t="s">
        <v>556</v>
      </c>
      <c r="P1728" s="40">
        <v>1</v>
      </c>
      <c r="Q1728" s="33"/>
      <c r="R1728" s="33"/>
      <c r="S1728" s="33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</row>
    <row r="1729" spans="1:48" s="27" customFormat="1" ht="17.25" customHeight="1">
      <c r="A1729" s="12"/>
      <c r="B1729" s="97" t="s">
        <v>561</v>
      </c>
      <c r="C1729" s="66" t="s">
        <v>804</v>
      </c>
      <c r="D1729" s="51"/>
      <c r="E1729" s="51"/>
      <c r="F1729" s="51"/>
      <c r="G1729" s="51"/>
      <c r="H1729" s="51"/>
      <c r="I1729" s="51"/>
      <c r="J1729" s="51"/>
      <c r="K1729" s="51"/>
      <c r="L1729" s="40"/>
      <c r="M1729" s="40"/>
      <c r="N1729" s="40">
        <v>1</v>
      </c>
      <c r="O1729" s="40"/>
      <c r="P1729" s="40">
        <v>1</v>
      </c>
      <c r="Q1729" s="33"/>
      <c r="R1729" s="33"/>
      <c r="S1729" s="33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</row>
    <row r="1730" spans="1:48" s="27" customFormat="1" ht="17.25" customHeight="1">
      <c r="A1730" s="12"/>
      <c r="B1730" s="105" t="s">
        <v>570</v>
      </c>
      <c r="C1730" s="15" t="s">
        <v>571</v>
      </c>
      <c r="D1730" s="51"/>
      <c r="E1730" s="51"/>
      <c r="F1730" s="51"/>
      <c r="G1730" s="51"/>
      <c r="H1730" s="51"/>
      <c r="I1730" s="51"/>
      <c r="J1730" s="51"/>
      <c r="K1730" s="51"/>
      <c r="L1730" s="40">
        <v>1</v>
      </c>
      <c r="M1730" s="40">
        <v>2</v>
      </c>
      <c r="N1730" s="40"/>
      <c r="O1730" s="40"/>
      <c r="P1730" s="40"/>
      <c r="Q1730" s="33"/>
      <c r="R1730" s="33"/>
      <c r="S1730" s="33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</row>
    <row r="1731" spans="1:48" s="27" customFormat="1" ht="17.25" customHeight="1">
      <c r="A1731" s="12"/>
      <c r="B1731" s="97" t="s">
        <v>84</v>
      </c>
      <c r="C1731" s="15" t="s">
        <v>85</v>
      </c>
      <c r="D1731" s="51"/>
      <c r="E1731" s="51"/>
      <c r="F1731" s="51"/>
      <c r="G1731" s="51"/>
      <c r="H1731" s="51"/>
      <c r="I1731" s="51"/>
      <c r="J1731" s="51"/>
      <c r="K1731" s="51"/>
      <c r="L1731" s="40">
        <v>1</v>
      </c>
      <c r="M1731" s="40">
        <v>1</v>
      </c>
      <c r="N1731" s="40">
        <v>1</v>
      </c>
      <c r="O1731" s="40" t="s">
        <v>556</v>
      </c>
      <c r="P1731" s="40">
        <v>1</v>
      </c>
      <c r="Q1731" s="33"/>
      <c r="R1731" s="33"/>
      <c r="S1731" s="33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</row>
    <row r="1732" spans="1:48" s="27" customFormat="1" ht="17.25" customHeight="1">
      <c r="A1732" s="12"/>
      <c r="B1732" s="97" t="s">
        <v>1299</v>
      </c>
      <c r="C1732" s="15" t="s">
        <v>1300</v>
      </c>
      <c r="D1732" s="51"/>
      <c r="E1732" s="51"/>
      <c r="F1732" s="51"/>
      <c r="G1732" s="51"/>
      <c r="H1732" s="51"/>
      <c r="I1732" s="51"/>
      <c r="J1732" s="51"/>
      <c r="K1732" s="51"/>
      <c r="L1732" s="40">
        <v>14</v>
      </c>
      <c r="M1732" s="40">
        <v>12</v>
      </c>
      <c r="N1732" s="40">
        <v>6</v>
      </c>
      <c r="O1732" s="40">
        <v>7</v>
      </c>
      <c r="P1732" s="40">
        <v>12</v>
      </c>
      <c r="Q1732" s="33"/>
      <c r="R1732" s="33"/>
      <c r="S1732" s="33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</row>
    <row r="1733" spans="1:48" s="27" customFormat="1" ht="17.25" customHeight="1">
      <c r="A1733" s="12"/>
      <c r="B1733" s="93" t="s">
        <v>37</v>
      </c>
      <c r="C1733" s="15"/>
      <c r="D1733" s="51"/>
      <c r="E1733" s="51"/>
      <c r="F1733" s="51"/>
      <c r="G1733" s="51"/>
      <c r="H1733" s="51"/>
      <c r="I1733" s="51"/>
      <c r="J1733" s="51"/>
      <c r="K1733" s="51"/>
      <c r="L1733" s="60">
        <f>SUM(L1734:L1739)</f>
        <v>4</v>
      </c>
      <c r="M1733" s="60">
        <f>SUM(M1734:M1739)</f>
        <v>4</v>
      </c>
      <c r="N1733" s="60">
        <f>SUM(N1734:N1739)</f>
        <v>5</v>
      </c>
      <c r="O1733" s="60">
        <f>SUM(O1734:O1739)</f>
        <v>5</v>
      </c>
      <c r="P1733" s="60">
        <f>SUM(P1734:P1739)</f>
        <v>5</v>
      </c>
      <c r="Q1733" s="33"/>
      <c r="R1733" s="33"/>
      <c r="S1733" s="33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</row>
    <row r="1734" spans="1:48" s="27" customFormat="1" ht="17.25" customHeight="1">
      <c r="A1734" s="12"/>
      <c r="B1734" s="97" t="s">
        <v>871</v>
      </c>
      <c r="C1734" s="15" t="s">
        <v>872</v>
      </c>
      <c r="D1734" s="51"/>
      <c r="E1734" s="51"/>
      <c r="F1734" s="51"/>
      <c r="G1734" s="51"/>
      <c r="H1734" s="51"/>
      <c r="I1734" s="51"/>
      <c r="J1734" s="51"/>
      <c r="K1734" s="51"/>
      <c r="L1734" s="40">
        <v>2</v>
      </c>
      <c r="M1734" s="40">
        <v>1</v>
      </c>
      <c r="N1734" s="40">
        <v>1</v>
      </c>
      <c r="O1734" s="40" t="s">
        <v>556</v>
      </c>
      <c r="P1734" s="40" t="s">
        <v>556</v>
      </c>
      <c r="Q1734" s="33"/>
      <c r="R1734" s="33"/>
      <c r="S1734" s="33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</row>
    <row r="1735" spans="1:48" s="27" customFormat="1" ht="17.25" customHeight="1">
      <c r="A1735" s="12"/>
      <c r="B1735" s="111" t="s">
        <v>862</v>
      </c>
      <c r="C1735" s="15" t="s">
        <v>863</v>
      </c>
      <c r="D1735" s="51"/>
      <c r="E1735" s="51"/>
      <c r="F1735" s="51"/>
      <c r="G1735" s="51"/>
      <c r="H1735" s="51"/>
      <c r="I1735" s="51"/>
      <c r="J1735" s="51"/>
      <c r="K1735" s="51"/>
      <c r="L1735" s="40" t="s">
        <v>556</v>
      </c>
      <c r="M1735" s="40" t="s">
        <v>556</v>
      </c>
      <c r="N1735" s="40">
        <v>1</v>
      </c>
      <c r="O1735" s="40" t="s">
        <v>556</v>
      </c>
      <c r="P1735" s="40" t="s">
        <v>556</v>
      </c>
      <c r="Q1735" s="33"/>
      <c r="R1735" s="33"/>
      <c r="S1735" s="33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</row>
    <row r="1736" spans="1:48" s="27" customFormat="1" ht="17.25" customHeight="1">
      <c r="A1736" s="12"/>
      <c r="B1736" s="97" t="s">
        <v>38</v>
      </c>
      <c r="C1736" s="66" t="s">
        <v>457</v>
      </c>
      <c r="D1736" s="51"/>
      <c r="E1736" s="51"/>
      <c r="F1736" s="51"/>
      <c r="G1736" s="51"/>
      <c r="H1736" s="51"/>
      <c r="I1736" s="51"/>
      <c r="J1736" s="51"/>
      <c r="K1736" s="51"/>
      <c r="L1736" s="40">
        <v>1</v>
      </c>
      <c r="M1736" s="40">
        <v>2</v>
      </c>
      <c r="N1736" s="40" t="s">
        <v>556</v>
      </c>
      <c r="O1736" s="40">
        <v>2</v>
      </c>
      <c r="P1736" s="40">
        <v>1</v>
      </c>
      <c r="Q1736" s="33"/>
      <c r="R1736" s="33"/>
      <c r="S1736" s="33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</row>
    <row r="1737" spans="1:48" s="27" customFormat="1" ht="17.25" customHeight="1">
      <c r="A1737" s="12"/>
      <c r="B1737" s="97" t="s">
        <v>86</v>
      </c>
      <c r="C1737" s="15" t="s">
        <v>87</v>
      </c>
      <c r="D1737" s="51"/>
      <c r="E1737" s="51"/>
      <c r="F1737" s="51"/>
      <c r="G1737" s="51"/>
      <c r="H1737" s="51"/>
      <c r="I1737" s="51"/>
      <c r="J1737" s="51"/>
      <c r="K1737" s="51"/>
      <c r="L1737" s="40" t="s">
        <v>556</v>
      </c>
      <c r="M1737" s="40" t="s">
        <v>556</v>
      </c>
      <c r="N1737" s="40">
        <v>1</v>
      </c>
      <c r="O1737" s="40">
        <v>1</v>
      </c>
      <c r="P1737" s="40">
        <v>2</v>
      </c>
      <c r="Q1737" s="33"/>
      <c r="R1737" s="33"/>
      <c r="S1737" s="33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</row>
    <row r="1738" spans="1:48" s="27" customFormat="1" ht="17.25" customHeight="1">
      <c r="A1738" s="12"/>
      <c r="B1738" s="106" t="s">
        <v>40</v>
      </c>
      <c r="C1738" s="66" t="s">
        <v>39</v>
      </c>
      <c r="D1738" s="51"/>
      <c r="E1738" s="51"/>
      <c r="F1738" s="51"/>
      <c r="G1738" s="51"/>
      <c r="H1738" s="51"/>
      <c r="I1738" s="51"/>
      <c r="J1738" s="51"/>
      <c r="K1738" s="51"/>
      <c r="L1738" s="40">
        <v>1</v>
      </c>
      <c r="M1738" s="40">
        <v>1</v>
      </c>
      <c r="N1738" s="40">
        <v>1</v>
      </c>
      <c r="O1738" s="40">
        <v>1</v>
      </c>
      <c r="P1738" s="40">
        <v>1</v>
      </c>
      <c r="Q1738" s="33"/>
      <c r="R1738" s="33"/>
      <c r="S1738" s="33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</row>
    <row r="1739" spans="1:48" s="27" customFormat="1" ht="17.25" customHeight="1">
      <c r="A1739" s="12"/>
      <c r="B1739" s="106" t="s">
        <v>109</v>
      </c>
      <c r="C1739" s="66" t="s">
        <v>110</v>
      </c>
      <c r="D1739" s="51"/>
      <c r="E1739" s="51"/>
      <c r="F1739" s="51"/>
      <c r="G1739" s="51"/>
      <c r="H1739" s="51"/>
      <c r="I1739" s="51"/>
      <c r="J1739" s="51"/>
      <c r="K1739" s="51"/>
      <c r="L1739" s="40" t="s">
        <v>556</v>
      </c>
      <c r="M1739" s="40" t="s">
        <v>556</v>
      </c>
      <c r="N1739" s="40">
        <v>1</v>
      </c>
      <c r="O1739" s="40">
        <v>1</v>
      </c>
      <c r="P1739" s="40">
        <v>1</v>
      </c>
      <c r="Q1739" s="33"/>
      <c r="R1739" s="33"/>
      <c r="S1739" s="33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</row>
    <row r="1740" spans="1:188" s="57" customFormat="1" ht="20.25" customHeight="1">
      <c r="A1740" s="13">
        <v>4</v>
      </c>
      <c r="B1740" s="92" t="s">
        <v>83</v>
      </c>
      <c r="C1740" s="45"/>
      <c r="D1740" s="44"/>
      <c r="E1740" s="44"/>
      <c r="F1740" s="44">
        <v>88</v>
      </c>
      <c r="G1740" s="44">
        <v>88</v>
      </c>
      <c r="H1740" s="44">
        <v>88</v>
      </c>
      <c r="I1740" s="44">
        <v>88</v>
      </c>
      <c r="J1740" s="44"/>
      <c r="K1740" s="44">
        <v>88</v>
      </c>
      <c r="L1740" s="44">
        <f>SUM(L1741,L1744,L1746)</f>
        <v>8</v>
      </c>
      <c r="M1740" s="44">
        <f>SUM(M1741,M1744,M1746)</f>
        <v>5</v>
      </c>
      <c r="N1740" s="44">
        <f>SUM(N1741,N1744,N1746)</f>
        <v>6</v>
      </c>
      <c r="O1740" s="44">
        <f>SUM(O1741,O1744,O1746)</f>
        <v>5</v>
      </c>
      <c r="P1740" s="44">
        <f>SUM(P1741,P1744,P1746)</f>
        <v>4</v>
      </c>
      <c r="Q1740" s="54" t="s">
        <v>648</v>
      </c>
      <c r="R1740" s="54">
        <v>1</v>
      </c>
      <c r="S1740" s="55" t="s">
        <v>551</v>
      </c>
      <c r="T1740" s="56"/>
      <c r="U1740" s="56"/>
      <c r="V1740" s="56"/>
      <c r="W1740" s="56"/>
      <c r="X1740" s="56"/>
      <c r="Y1740" s="56"/>
      <c r="Z1740" s="56"/>
      <c r="AA1740" s="56"/>
      <c r="AB1740" s="56"/>
      <c r="AC1740" s="56"/>
      <c r="AD1740" s="56"/>
      <c r="AE1740" s="56"/>
      <c r="AF1740" s="56"/>
      <c r="AG1740" s="56"/>
      <c r="AH1740" s="56"/>
      <c r="AI1740" s="56"/>
      <c r="AJ1740" s="56"/>
      <c r="AK1740" s="56"/>
      <c r="AL1740" s="56"/>
      <c r="AM1740" s="56"/>
      <c r="AN1740" s="56"/>
      <c r="AO1740" s="56"/>
      <c r="AP1740" s="56"/>
      <c r="AQ1740" s="56"/>
      <c r="AR1740" s="56"/>
      <c r="AS1740" s="56"/>
      <c r="AT1740" s="56"/>
      <c r="AU1740" s="56"/>
      <c r="AV1740" s="56"/>
      <c r="AW1740" s="56"/>
      <c r="AX1740" s="56"/>
      <c r="AY1740" s="56"/>
      <c r="AZ1740" s="56"/>
      <c r="BA1740" s="56"/>
      <c r="BB1740" s="56"/>
      <c r="BC1740" s="56"/>
      <c r="BD1740" s="56"/>
      <c r="BE1740" s="56"/>
      <c r="BF1740" s="56"/>
      <c r="BG1740" s="56"/>
      <c r="BH1740" s="56"/>
      <c r="BI1740" s="56"/>
      <c r="BJ1740" s="56"/>
      <c r="BK1740" s="56"/>
      <c r="BL1740" s="56"/>
      <c r="BM1740" s="56"/>
      <c r="BN1740" s="56"/>
      <c r="BO1740" s="56"/>
      <c r="BP1740" s="56"/>
      <c r="BQ1740" s="56"/>
      <c r="BR1740" s="56"/>
      <c r="BS1740" s="56"/>
      <c r="BT1740" s="56"/>
      <c r="BU1740" s="56"/>
      <c r="BV1740" s="56"/>
      <c r="BW1740" s="56"/>
      <c r="BX1740" s="56"/>
      <c r="BY1740" s="56"/>
      <c r="BZ1740" s="56"/>
      <c r="CA1740" s="56"/>
      <c r="CB1740" s="56"/>
      <c r="CC1740" s="56"/>
      <c r="CD1740" s="56"/>
      <c r="CE1740" s="56"/>
      <c r="CF1740" s="56"/>
      <c r="CG1740" s="56"/>
      <c r="CH1740" s="56"/>
      <c r="CI1740" s="56"/>
      <c r="CJ1740" s="56"/>
      <c r="CK1740" s="56"/>
      <c r="CL1740" s="56"/>
      <c r="CM1740" s="56"/>
      <c r="CN1740" s="56"/>
      <c r="CO1740" s="56"/>
      <c r="CP1740" s="56"/>
      <c r="CQ1740" s="56"/>
      <c r="CR1740" s="56"/>
      <c r="CS1740" s="56"/>
      <c r="CT1740" s="56"/>
      <c r="CU1740" s="56"/>
      <c r="CV1740" s="56"/>
      <c r="CW1740" s="56"/>
      <c r="CX1740" s="56"/>
      <c r="CY1740" s="56"/>
      <c r="CZ1740" s="56"/>
      <c r="DA1740" s="56"/>
      <c r="DB1740" s="56"/>
      <c r="DC1740" s="56"/>
      <c r="DD1740" s="56"/>
      <c r="DE1740" s="56"/>
      <c r="DF1740" s="56"/>
      <c r="DG1740" s="56"/>
      <c r="DH1740" s="56"/>
      <c r="DI1740" s="56"/>
      <c r="DJ1740" s="56"/>
      <c r="DK1740" s="56"/>
      <c r="DL1740" s="56"/>
      <c r="DM1740" s="56"/>
      <c r="DN1740" s="56"/>
      <c r="DO1740" s="56"/>
      <c r="DP1740" s="56"/>
      <c r="DQ1740" s="56"/>
      <c r="DR1740" s="56"/>
      <c r="DS1740" s="56"/>
      <c r="DT1740" s="56"/>
      <c r="DU1740" s="56"/>
      <c r="DV1740" s="56"/>
      <c r="DW1740" s="56"/>
      <c r="DX1740" s="56"/>
      <c r="DY1740" s="56"/>
      <c r="DZ1740" s="56"/>
      <c r="EA1740" s="56"/>
      <c r="EB1740" s="56"/>
      <c r="EC1740" s="56"/>
      <c r="ED1740" s="56"/>
      <c r="EE1740" s="56"/>
      <c r="EF1740" s="56"/>
      <c r="EG1740" s="56"/>
      <c r="EH1740" s="56"/>
      <c r="EI1740" s="56"/>
      <c r="EJ1740" s="56"/>
      <c r="EK1740" s="56"/>
      <c r="EL1740" s="56"/>
      <c r="EM1740" s="56"/>
      <c r="EN1740" s="56"/>
      <c r="EO1740" s="56"/>
      <c r="EP1740" s="56"/>
      <c r="EQ1740" s="56"/>
      <c r="ER1740" s="56"/>
      <c r="ES1740" s="56"/>
      <c r="ET1740" s="56"/>
      <c r="EU1740" s="56"/>
      <c r="EV1740" s="56"/>
      <c r="EW1740" s="56"/>
      <c r="EX1740" s="56"/>
      <c r="EY1740" s="56"/>
      <c r="EZ1740" s="56"/>
      <c r="FA1740" s="56"/>
      <c r="FB1740" s="56"/>
      <c r="FC1740" s="56"/>
      <c r="FD1740" s="56"/>
      <c r="FE1740" s="56"/>
      <c r="FF1740" s="56"/>
      <c r="FG1740" s="56"/>
      <c r="FH1740" s="56"/>
      <c r="FI1740" s="56"/>
      <c r="FJ1740" s="56"/>
      <c r="FK1740" s="56"/>
      <c r="FL1740" s="56"/>
      <c r="FM1740" s="56"/>
      <c r="FN1740" s="56"/>
      <c r="FO1740" s="56"/>
      <c r="FP1740" s="56"/>
      <c r="FQ1740" s="56"/>
      <c r="FR1740" s="56"/>
      <c r="FS1740" s="56"/>
      <c r="FT1740" s="56"/>
      <c r="FU1740" s="56"/>
      <c r="FV1740" s="56"/>
      <c r="FW1740" s="56"/>
      <c r="FX1740" s="56"/>
      <c r="FY1740" s="56"/>
      <c r="FZ1740" s="56"/>
      <c r="GA1740" s="56"/>
      <c r="GB1740" s="56"/>
      <c r="GC1740" s="56"/>
      <c r="GD1740" s="56"/>
      <c r="GE1740" s="56"/>
      <c r="GF1740" s="56"/>
    </row>
    <row r="1741" spans="1:48" s="18" customFormat="1" ht="18.75" customHeight="1">
      <c r="A1741" s="50"/>
      <c r="B1741" s="93" t="s">
        <v>669</v>
      </c>
      <c r="C1741" s="16"/>
      <c r="D1741" s="52"/>
      <c r="E1741" s="52"/>
      <c r="F1741" s="52"/>
      <c r="G1741" s="52"/>
      <c r="H1741" s="52"/>
      <c r="I1741" s="52"/>
      <c r="J1741" s="52"/>
      <c r="K1741" s="52"/>
      <c r="L1741" s="60">
        <v>4</v>
      </c>
      <c r="M1741" s="60" t="s">
        <v>556</v>
      </c>
      <c r="N1741" s="60" t="s">
        <v>556</v>
      </c>
      <c r="O1741" s="60" t="s">
        <v>556</v>
      </c>
      <c r="P1741" s="60" t="s">
        <v>556</v>
      </c>
      <c r="T1741" s="47"/>
      <c r="U1741" s="47"/>
      <c r="V1741" s="47"/>
      <c r="W1741" s="47"/>
      <c r="X1741" s="47"/>
      <c r="Y1741" s="47"/>
      <c r="Z1741" s="47"/>
      <c r="AA1741" s="47"/>
      <c r="AB1741" s="47"/>
      <c r="AC1741" s="47"/>
      <c r="AD1741" s="47"/>
      <c r="AE1741" s="47"/>
      <c r="AF1741" s="47"/>
      <c r="AG1741" s="47"/>
      <c r="AH1741" s="47"/>
      <c r="AI1741" s="47"/>
      <c r="AJ1741" s="47"/>
      <c r="AK1741" s="47"/>
      <c r="AL1741" s="47"/>
      <c r="AM1741" s="47"/>
      <c r="AN1741" s="47"/>
      <c r="AO1741" s="47"/>
      <c r="AP1741" s="47"/>
      <c r="AQ1741" s="47"/>
      <c r="AR1741" s="47"/>
      <c r="AS1741" s="47"/>
      <c r="AT1741" s="47"/>
      <c r="AU1741" s="47"/>
      <c r="AV1741" s="47"/>
    </row>
    <row r="1742" spans="1:48" s="27" customFormat="1" ht="15.75" customHeight="1">
      <c r="A1742" s="12"/>
      <c r="B1742" s="97" t="s">
        <v>1301</v>
      </c>
      <c r="C1742" s="29" t="s">
        <v>1302</v>
      </c>
      <c r="D1742" s="51"/>
      <c r="E1742" s="51"/>
      <c r="F1742" s="51">
        <v>42</v>
      </c>
      <c r="G1742" s="51">
        <v>42</v>
      </c>
      <c r="H1742" s="51">
        <v>43</v>
      </c>
      <c r="I1742" s="51">
        <v>43</v>
      </c>
      <c r="J1742" s="51"/>
      <c r="K1742" s="51">
        <v>43</v>
      </c>
      <c r="L1742" s="40">
        <v>3</v>
      </c>
      <c r="M1742" s="40" t="s">
        <v>556</v>
      </c>
      <c r="N1742" s="40" t="s">
        <v>556</v>
      </c>
      <c r="O1742" s="40" t="s">
        <v>556</v>
      </c>
      <c r="P1742" s="40" t="s">
        <v>556</v>
      </c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</row>
    <row r="1743" spans="1:48" s="27" customFormat="1" ht="15.75" customHeight="1">
      <c r="A1743" s="12"/>
      <c r="B1743" s="97" t="s">
        <v>448</v>
      </c>
      <c r="C1743" s="29" t="s">
        <v>449</v>
      </c>
      <c r="D1743" s="51"/>
      <c r="E1743" s="51"/>
      <c r="F1743" s="51"/>
      <c r="G1743" s="51"/>
      <c r="H1743" s="51"/>
      <c r="I1743" s="51"/>
      <c r="J1743" s="51"/>
      <c r="K1743" s="51"/>
      <c r="L1743" s="40">
        <v>1</v>
      </c>
      <c r="M1743" s="40" t="s">
        <v>556</v>
      </c>
      <c r="N1743" s="40" t="s">
        <v>556</v>
      </c>
      <c r="O1743" s="40" t="s">
        <v>556</v>
      </c>
      <c r="P1743" s="40" t="s">
        <v>556</v>
      </c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</row>
    <row r="1744" spans="1:48" s="18" customFormat="1" ht="19.5" customHeight="1">
      <c r="A1744" s="50"/>
      <c r="B1744" s="93" t="s">
        <v>670</v>
      </c>
      <c r="C1744" s="16"/>
      <c r="D1744" s="52"/>
      <c r="E1744" s="52"/>
      <c r="F1744" s="52"/>
      <c r="G1744" s="52"/>
      <c r="H1744" s="52"/>
      <c r="I1744" s="52"/>
      <c r="J1744" s="52"/>
      <c r="K1744" s="52"/>
      <c r="L1744" s="60">
        <f>SUM(L1745:L1745)</f>
        <v>4</v>
      </c>
      <c r="M1744" s="60">
        <f>SUM(M1745:M1745)</f>
        <v>4</v>
      </c>
      <c r="N1744" s="60">
        <f>SUM(N1745:N1745)</f>
        <v>5</v>
      </c>
      <c r="O1744" s="60">
        <f>SUM(O1745:O1745)</f>
        <v>5</v>
      </c>
      <c r="P1744" s="60">
        <f>SUM(P1745:P1745)</f>
        <v>4</v>
      </c>
      <c r="Q1744" s="23"/>
      <c r="R1744" s="23"/>
      <c r="S1744" s="17"/>
      <c r="T1744" s="47"/>
      <c r="U1744" s="47"/>
      <c r="V1744" s="47"/>
      <c r="W1744" s="47"/>
      <c r="X1744" s="47"/>
      <c r="Y1744" s="47"/>
      <c r="Z1744" s="47"/>
      <c r="AA1744" s="47"/>
      <c r="AB1744" s="47"/>
      <c r="AC1744" s="47"/>
      <c r="AD1744" s="47"/>
      <c r="AE1744" s="47"/>
      <c r="AF1744" s="47"/>
      <c r="AG1744" s="47"/>
      <c r="AH1744" s="47"/>
      <c r="AI1744" s="47"/>
      <c r="AJ1744" s="47"/>
      <c r="AK1744" s="47"/>
      <c r="AL1744" s="47"/>
      <c r="AM1744" s="47"/>
      <c r="AN1744" s="47"/>
      <c r="AO1744" s="47"/>
      <c r="AP1744" s="47"/>
      <c r="AQ1744" s="47"/>
      <c r="AR1744" s="47"/>
      <c r="AS1744" s="47"/>
      <c r="AT1744" s="47"/>
      <c r="AU1744" s="47"/>
      <c r="AV1744" s="47"/>
    </row>
    <row r="1745" spans="1:48" s="27" customFormat="1" ht="18" customHeight="1">
      <c r="A1745" s="12"/>
      <c r="B1745" s="97" t="s">
        <v>1299</v>
      </c>
      <c r="C1745" s="15" t="s">
        <v>1300</v>
      </c>
      <c r="D1745" s="51"/>
      <c r="E1745" s="51"/>
      <c r="F1745" s="51">
        <v>11</v>
      </c>
      <c r="G1745" s="51">
        <v>11</v>
      </c>
      <c r="H1745" s="51">
        <v>11</v>
      </c>
      <c r="I1745" s="51">
        <v>11</v>
      </c>
      <c r="J1745" s="51"/>
      <c r="K1745" s="51">
        <v>11</v>
      </c>
      <c r="L1745" s="40">
        <v>4</v>
      </c>
      <c r="M1745" s="40">
        <v>4</v>
      </c>
      <c r="N1745" s="40">
        <v>5</v>
      </c>
      <c r="O1745" s="40">
        <v>5</v>
      </c>
      <c r="P1745" s="40">
        <v>4</v>
      </c>
      <c r="Q1745" s="33" t="s">
        <v>556</v>
      </c>
      <c r="R1745" s="28" t="s">
        <v>556</v>
      </c>
      <c r="S1745" s="28" t="s">
        <v>556</v>
      </c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</row>
    <row r="1746" spans="1:48" s="18" customFormat="1" ht="19.5" customHeight="1">
      <c r="A1746" s="50"/>
      <c r="B1746" s="93" t="s">
        <v>37</v>
      </c>
      <c r="C1746" s="16"/>
      <c r="D1746" s="52"/>
      <c r="E1746" s="51"/>
      <c r="F1746" s="52"/>
      <c r="G1746" s="52"/>
      <c r="H1746" s="52"/>
      <c r="I1746" s="52"/>
      <c r="J1746" s="52"/>
      <c r="K1746" s="52"/>
      <c r="L1746" s="60" t="str">
        <f>L1747</f>
        <v> -</v>
      </c>
      <c r="M1746" s="60">
        <f>M1747</f>
        <v>1</v>
      </c>
      <c r="N1746" s="60">
        <f>N1747</f>
        <v>1</v>
      </c>
      <c r="O1746" s="60" t="str">
        <f>O1747</f>
        <v> -</v>
      </c>
      <c r="P1746" s="60" t="str">
        <f>P1747</f>
        <v> -</v>
      </c>
      <c r="T1746" s="47"/>
      <c r="U1746" s="47"/>
      <c r="V1746" s="47"/>
      <c r="W1746" s="47"/>
      <c r="X1746" s="47"/>
      <c r="Y1746" s="47"/>
      <c r="Z1746" s="47"/>
      <c r="AA1746" s="47"/>
      <c r="AB1746" s="47"/>
      <c r="AC1746" s="47"/>
      <c r="AD1746" s="47"/>
      <c r="AE1746" s="47"/>
      <c r="AF1746" s="47"/>
      <c r="AG1746" s="47"/>
      <c r="AH1746" s="47"/>
      <c r="AI1746" s="47"/>
      <c r="AJ1746" s="47"/>
      <c r="AK1746" s="47"/>
      <c r="AL1746" s="47"/>
      <c r="AM1746" s="47"/>
      <c r="AN1746" s="47"/>
      <c r="AO1746" s="47"/>
      <c r="AP1746" s="47"/>
      <c r="AQ1746" s="47"/>
      <c r="AR1746" s="47"/>
      <c r="AS1746" s="47"/>
      <c r="AT1746" s="47"/>
      <c r="AU1746" s="47"/>
      <c r="AV1746" s="47"/>
    </row>
    <row r="1747" spans="1:48" s="27" customFormat="1" ht="16.5" customHeight="1">
      <c r="A1747" s="12"/>
      <c r="B1747" s="109" t="s">
        <v>114</v>
      </c>
      <c r="C1747" s="66" t="s">
        <v>113</v>
      </c>
      <c r="D1747" s="51"/>
      <c r="E1747" s="51"/>
      <c r="F1747" s="51"/>
      <c r="G1747" s="51"/>
      <c r="H1747" s="51"/>
      <c r="I1747" s="51"/>
      <c r="J1747" s="51"/>
      <c r="K1747" s="51"/>
      <c r="L1747" s="40" t="s">
        <v>556</v>
      </c>
      <c r="M1747" s="40">
        <v>1</v>
      </c>
      <c r="N1747" s="40">
        <v>1</v>
      </c>
      <c r="O1747" s="40" t="s">
        <v>556</v>
      </c>
      <c r="P1747" s="40" t="s">
        <v>556</v>
      </c>
      <c r="Q1747" s="33" t="s">
        <v>556</v>
      </c>
      <c r="R1747" s="28" t="s">
        <v>556</v>
      </c>
      <c r="S1747" s="28" t="s">
        <v>556</v>
      </c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</row>
    <row r="1748" spans="1:188" s="57" customFormat="1" ht="18.75" customHeight="1">
      <c r="A1748" s="13">
        <v>5</v>
      </c>
      <c r="B1748" s="92" t="s">
        <v>250</v>
      </c>
      <c r="C1748" s="45"/>
      <c r="D1748" s="44">
        <v>208</v>
      </c>
      <c r="E1748" s="44">
        <v>24</v>
      </c>
      <c r="F1748" s="44">
        <v>60</v>
      </c>
      <c r="G1748" s="44">
        <v>54</v>
      </c>
      <c r="H1748" s="44">
        <v>55</v>
      </c>
      <c r="I1748" s="44">
        <v>53</v>
      </c>
      <c r="J1748" s="44"/>
      <c r="K1748" s="44">
        <v>50</v>
      </c>
      <c r="L1748" s="44">
        <f>SUM(L1749,L1763,L1767)</f>
        <v>24</v>
      </c>
      <c r="M1748" s="44">
        <f>SUM(M1749,M1763,M1767)</f>
        <v>30</v>
      </c>
      <c r="N1748" s="44">
        <f>SUM(N1749,N1763,N1767)</f>
        <v>43</v>
      </c>
      <c r="O1748" s="44">
        <f>SUM(O1749,O1763,O1767)</f>
        <v>55</v>
      </c>
      <c r="P1748" s="44">
        <f>SUM(P1749,P1763,P1767)</f>
        <v>70</v>
      </c>
      <c r="Q1748" s="54" t="s">
        <v>649</v>
      </c>
      <c r="R1748" s="54">
        <v>1</v>
      </c>
      <c r="S1748" s="55" t="s">
        <v>534</v>
      </c>
      <c r="T1748" s="56"/>
      <c r="U1748" s="56"/>
      <c r="V1748" s="56"/>
      <c r="W1748" s="56"/>
      <c r="X1748" s="56"/>
      <c r="Y1748" s="56"/>
      <c r="Z1748" s="56"/>
      <c r="AA1748" s="56"/>
      <c r="AB1748" s="56"/>
      <c r="AC1748" s="56"/>
      <c r="AD1748" s="56"/>
      <c r="AE1748" s="56"/>
      <c r="AF1748" s="56"/>
      <c r="AG1748" s="56"/>
      <c r="AH1748" s="56"/>
      <c r="AI1748" s="56"/>
      <c r="AJ1748" s="56"/>
      <c r="AK1748" s="56"/>
      <c r="AL1748" s="56"/>
      <c r="AM1748" s="56"/>
      <c r="AN1748" s="56"/>
      <c r="AO1748" s="56"/>
      <c r="AP1748" s="56"/>
      <c r="AQ1748" s="56"/>
      <c r="AR1748" s="56"/>
      <c r="AS1748" s="56"/>
      <c r="AT1748" s="56"/>
      <c r="AU1748" s="56"/>
      <c r="AV1748" s="56"/>
      <c r="AW1748" s="56"/>
      <c r="AX1748" s="56"/>
      <c r="AY1748" s="56"/>
      <c r="AZ1748" s="56"/>
      <c r="BA1748" s="56"/>
      <c r="BB1748" s="56"/>
      <c r="BC1748" s="56"/>
      <c r="BD1748" s="56"/>
      <c r="BE1748" s="56"/>
      <c r="BF1748" s="56"/>
      <c r="BG1748" s="56"/>
      <c r="BH1748" s="56"/>
      <c r="BI1748" s="56"/>
      <c r="BJ1748" s="56"/>
      <c r="BK1748" s="56"/>
      <c r="BL1748" s="56"/>
      <c r="BM1748" s="56"/>
      <c r="BN1748" s="56"/>
      <c r="BO1748" s="56"/>
      <c r="BP1748" s="56"/>
      <c r="BQ1748" s="56"/>
      <c r="BR1748" s="56"/>
      <c r="BS1748" s="56"/>
      <c r="BT1748" s="56"/>
      <c r="BU1748" s="56"/>
      <c r="BV1748" s="56"/>
      <c r="BW1748" s="56"/>
      <c r="BX1748" s="56"/>
      <c r="BY1748" s="56"/>
      <c r="BZ1748" s="56"/>
      <c r="CA1748" s="56"/>
      <c r="CB1748" s="56"/>
      <c r="CC1748" s="56"/>
      <c r="CD1748" s="56"/>
      <c r="CE1748" s="56"/>
      <c r="CF1748" s="56"/>
      <c r="CG1748" s="56"/>
      <c r="CH1748" s="56"/>
      <c r="CI1748" s="56"/>
      <c r="CJ1748" s="56"/>
      <c r="CK1748" s="56"/>
      <c r="CL1748" s="56"/>
      <c r="CM1748" s="56"/>
      <c r="CN1748" s="56"/>
      <c r="CO1748" s="56"/>
      <c r="CP1748" s="56"/>
      <c r="CQ1748" s="56"/>
      <c r="CR1748" s="56"/>
      <c r="CS1748" s="56"/>
      <c r="CT1748" s="56"/>
      <c r="CU1748" s="56"/>
      <c r="CV1748" s="56"/>
      <c r="CW1748" s="56"/>
      <c r="CX1748" s="56"/>
      <c r="CY1748" s="56"/>
      <c r="CZ1748" s="56"/>
      <c r="DA1748" s="56"/>
      <c r="DB1748" s="56"/>
      <c r="DC1748" s="56"/>
      <c r="DD1748" s="56"/>
      <c r="DE1748" s="56"/>
      <c r="DF1748" s="56"/>
      <c r="DG1748" s="56"/>
      <c r="DH1748" s="56"/>
      <c r="DI1748" s="56"/>
      <c r="DJ1748" s="56"/>
      <c r="DK1748" s="56"/>
      <c r="DL1748" s="56"/>
      <c r="DM1748" s="56"/>
      <c r="DN1748" s="56"/>
      <c r="DO1748" s="56"/>
      <c r="DP1748" s="56"/>
      <c r="DQ1748" s="56"/>
      <c r="DR1748" s="56"/>
      <c r="DS1748" s="56"/>
      <c r="DT1748" s="56"/>
      <c r="DU1748" s="56"/>
      <c r="DV1748" s="56"/>
      <c r="DW1748" s="56"/>
      <c r="DX1748" s="56"/>
      <c r="DY1748" s="56"/>
      <c r="DZ1748" s="56"/>
      <c r="EA1748" s="56"/>
      <c r="EB1748" s="56"/>
      <c r="EC1748" s="56"/>
      <c r="ED1748" s="56"/>
      <c r="EE1748" s="56"/>
      <c r="EF1748" s="56"/>
      <c r="EG1748" s="56"/>
      <c r="EH1748" s="56"/>
      <c r="EI1748" s="56"/>
      <c r="EJ1748" s="56"/>
      <c r="EK1748" s="56"/>
      <c r="EL1748" s="56"/>
      <c r="EM1748" s="56"/>
      <c r="EN1748" s="56"/>
      <c r="EO1748" s="56"/>
      <c r="EP1748" s="56"/>
      <c r="EQ1748" s="56"/>
      <c r="ER1748" s="56"/>
      <c r="ES1748" s="56"/>
      <c r="ET1748" s="56"/>
      <c r="EU1748" s="56"/>
      <c r="EV1748" s="56"/>
      <c r="EW1748" s="56"/>
      <c r="EX1748" s="56"/>
      <c r="EY1748" s="56"/>
      <c r="EZ1748" s="56"/>
      <c r="FA1748" s="56"/>
      <c r="FB1748" s="56"/>
      <c r="FC1748" s="56"/>
      <c r="FD1748" s="56"/>
      <c r="FE1748" s="56"/>
      <c r="FF1748" s="56"/>
      <c r="FG1748" s="56"/>
      <c r="FH1748" s="56"/>
      <c r="FI1748" s="56"/>
      <c r="FJ1748" s="56"/>
      <c r="FK1748" s="56"/>
      <c r="FL1748" s="56"/>
      <c r="FM1748" s="56"/>
      <c r="FN1748" s="56"/>
      <c r="FO1748" s="56"/>
      <c r="FP1748" s="56"/>
      <c r="FQ1748" s="56"/>
      <c r="FR1748" s="56"/>
      <c r="FS1748" s="56"/>
      <c r="FT1748" s="56"/>
      <c r="FU1748" s="56"/>
      <c r="FV1748" s="56"/>
      <c r="FW1748" s="56"/>
      <c r="FX1748" s="56"/>
      <c r="FY1748" s="56"/>
      <c r="FZ1748" s="56"/>
      <c r="GA1748" s="56"/>
      <c r="GB1748" s="56"/>
      <c r="GC1748" s="56"/>
      <c r="GD1748" s="56"/>
      <c r="GE1748" s="56"/>
      <c r="GF1748" s="56"/>
    </row>
    <row r="1749" spans="1:48" s="18" customFormat="1" ht="15.75" customHeight="1">
      <c r="A1749" s="50"/>
      <c r="B1749" s="93" t="s">
        <v>669</v>
      </c>
      <c r="C1749" s="16"/>
      <c r="D1749" s="52"/>
      <c r="E1749" s="52"/>
      <c r="F1749" s="52"/>
      <c r="G1749" s="52"/>
      <c r="H1749" s="52"/>
      <c r="I1749" s="52"/>
      <c r="J1749" s="52"/>
      <c r="K1749" s="52"/>
      <c r="L1749" s="60">
        <f>SUM(L1750:L1762)</f>
        <v>16</v>
      </c>
      <c r="M1749" s="60">
        <f>SUM(M1750:M1762)</f>
        <v>20</v>
      </c>
      <c r="N1749" s="60">
        <f>SUM(N1750:N1762)</f>
        <v>32</v>
      </c>
      <c r="O1749" s="60">
        <f>SUM(O1750:O1762)</f>
        <v>44</v>
      </c>
      <c r="P1749" s="60">
        <f>SUM(P1750:P1762)</f>
        <v>56</v>
      </c>
      <c r="T1749" s="47"/>
      <c r="U1749" s="47"/>
      <c r="V1749" s="47"/>
      <c r="W1749" s="47"/>
      <c r="X1749" s="47"/>
      <c r="Y1749" s="47"/>
      <c r="Z1749" s="47"/>
      <c r="AA1749" s="47"/>
      <c r="AB1749" s="47"/>
      <c r="AC1749" s="47"/>
      <c r="AD1749" s="47"/>
      <c r="AE1749" s="47"/>
      <c r="AF1749" s="47"/>
      <c r="AG1749" s="47"/>
      <c r="AH1749" s="47"/>
      <c r="AI1749" s="47"/>
      <c r="AJ1749" s="47"/>
      <c r="AK1749" s="47"/>
      <c r="AL1749" s="47"/>
      <c r="AM1749" s="47"/>
      <c r="AN1749" s="47"/>
      <c r="AO1749" s="47"/>
      <c r="AP1749" s="47"/>
      <c r="AQ1749" s="47"/>
      <c r="AR1749" s="47"/>
      <c r="AS1749" s="47"/>
      <c r="AT1749" s="47"/>
      <c r="AU1749" s="47"/>
      <c r="AV1749" s="47"/>
    </row>
    <row r="1750" spans="1:48" s="27" customFormat="1" ht="15.75" customHeight="1">
      <c r="A1750" s="12"/>
      <c r="B1750" s="97" t="s">
        <v>1316</v>
      </c>
      <c r="C1750" s="29" t="s">
        <v>1317</v>
      </c>
      <c r="D1750" s="51"/>
      <c r="E1750" s="51"/>
      <c r="F1750" s="51">
        <v>6</v>
      </c>
      <c r="G1750" s="51">
        <v>6</v>
      </c>
      <c r="H1750" s="51">
        <v>6</v>
      </c>
      <c r="I1750" s="51">
        <v>6</v>
      </c>
      <c r="J1750" s="51"/>
      <c r="K1750" s="51">
        <v>6</v>
      </c>
      <c r="L1750" s="40">
        <v>1</v>
      </c>
      <c r="M1750" s="40">
        <v>1</v>
      </c>
      <c r="N1750" s="40">
        <v>3</v>
      </c>
      <c r="O1750" s="40">
        <v>3</v>
      </c>
      <c r="P1750" s="40">
        <v>4</v>
      </c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</row>
    <row r="1751" spans="1:48" s="27" customFormat="1" ht="15.75" customHeight="1">
      <c r="A1751" s="12"/>
      <c r="B1751" s="111" t="s">
        <v>748</v>
      </c>
      <c r="C1751" s="15" t="s">
        <v>749</v>
      </c>
      <c r="D1751" s="51"/>
      <c r="E1751" s="51"/>
      <c r="F1751" s="51"/>
      <c r="G1751" s="51"/>
      <c r="H1751" s="51"/>
      <c r="I1751" s="51"/>
      <c r="J1751" s="51"/>
      <c r="K1751" s="51"/>
      <c r="L1751" s="40">
        <v>1</v>
      </c>
      <c r="M1751" s="40">
        <v>1</v>
      </c>
      <c r="N1751" s="40">
        <v>1</v>
      </c>
      <c r="O1751" s="40">
        <v>2</v>
      </c>
      <c r="P1751" s="40">
        <v>3</v>
      </c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</row>
    <row r="1752" spans="1:48" s="27" customFormat="1" ht="15.75" customHeight="1">
      <c r="A1752" s="12"/>
      <c r="B1752" s="97" t="s">
        <v>1304</v>
      </c>
      <c r="C1752" s="29" t="s">
        <v>1305</v>
      </c>
      <c r="D1752" s="51"/>
      <c r="E1752" s="51"/>
      <c r="F1752" s="51"/>
      <c r="G1752" s="51"/>
      <c r="H1752" s="51"/>
      <c r="I1752" s="51"/>
      <c r="J1752" s="51"/>
      <c r="K1752" s="51"/>
      <c r="L1752" s="40">
        <v>1</v>
      </c>
      <c r="M1752" s="40">
        <v>1</v>
      </c>
      <c r="N1752" s="40">
        <v>1</v>
      </c>
      <c r="O1752" s="40">
        <v>4</v>
      </c>
      <c r="P1752" s="40">
        <v>4</v>
      </c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</row>
    <row r="1753" spans="1:48" s="27" customFormat="1" ht="15.75" customHeight="1">
      <c r="A1753" s="12"/>
      <c r="B1753" s="97" t="s">
        <v>1320</v>
      </c>
      <c r="C1753" s="29" t="s">
        <v>1322</v>
      </c>
      <c r="D1753" s="51"/>
      <c r="E1753" s="51"/>
      <c r="F1753" s="51"/>
      <c r="G1753" s="51"/>
      <c r="H1753" s="51"/>
      <c r="I1753" s="51"/>
      <c r="J1753" s="51"/>
      <c r="K1753" s="51"/>
      <c r="L1753" s="40">
        <v>1</v>
      </c>
      <c r="M1753" s="40">
        <v>1</v>
      </c>
      <c r="N1753" s="40">
        <v>1</v>
      </c>
      <c r="O1753" s="40">
        <v>2</v>
      </c>
      <c r="P1753" s="40">
        <v>3</v>
      </c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</row>
    <row r="1754" spans="1:48" s="27" customFormat="1" ht="15.75" customHeight="1">
      <c r="A1754" s="12"/>
      <c r="B1754" s="97" t="s">
        <v>1321</v>
      </c>
      <c r="C1754" s="15" t="s">
        <v>1323</v>
      </c>
      <c r="D1754" s="51"/>
      <c r="E1754" s="51"/>
      <c r="F1754" s="51">
        <v>7</v>
      </c>
      <c r="G1754" s="51">
        <v>7</v>
      </c>
      <c r="H1754" s="51">
        <v>7</v>
      </c>
      <c r="I1754" s="51">
        <v>10</v>
      </c>
      <c r="J1754" s="51"/>
      <c r="K1754" s="51">
        <v>10</v>
      </c>
      <c r="L1754" s="40">
        <v>1</v>
      </c>
      <c r="M1754" s="40">
        <v>1</v>
      </c>
      <c r="N1754" s="40">
        <v>2</v>
      </c>
      <c r="O1754" s="40">
        <v>2</v>
      </c>
      <c r="P1754" s="40">
        <v>4</v>
      </c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</row>
    <row r="1755" spans="1:48" s="27" customFormat="1" ht="15.75" customHeight="1">
      <c r="A1755" s="12"/>
      <c r="B1755" s="105" t="s">
        <v>899</v>
      </c>
      <c r="C1755" s="15">
        <v>15050133</v>
      </c>
      <c r="D1755" s="51"/>
      <c r="E1755" s="51"/>
      <c r="F1755" s="51"/>
      <c r="G1755" s="51"/>
      <c r="H1755" s="51"/>
      <c r="I1755" s="51"/>
      <c r="J1755" s="51"/>
      <c r="K1755" s="51"/>
      <c r="L1755" s="40">
        <v>1</v>
      </c>
      <c r="M1755" s="40">
        <v>3</v>
      </c>
      <c r="N1755" s="40">
        <v>3</v>
      </c>
      <c r="O1755" s="40">
        <v>6</v>
      </c>
      <c r="P1755" s="40">
        <v>7</v>
      </c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</row>
    <row r="1756" spans="1:48" s="27" customFormat="1" ht="15.75" customHeight="1">
      <c r="A1756" s="12"/>
      <c r="B1756" s="105" t="s">
        <v>1303</v>
      </c>
      <c r="C1756" s="15">
        <v>15050334</v>
      </c>
      <c r="D1756" s="51"/>
      <c r="E1756" s="51"/>
      <c r="F1756" s="51"/>
      <c r="G1756" s="51"/>
      <c r="H1756" s="51"/>
      <c r="I1756" s="51"/>
      <c r="J1756" s="51"/>
      <c r="K1756" s="51"/>
      <c r="L1756" s="40">
        <v>2</v>
      </c>
      <c r="M1756" s="40">
        <v>4</v>
      </c>
      <c r="N1756" s="40">
        <v>7</v>
      </c>
      <c r="O1756" s="40">
        <v>7</v>
      </c>
      <c r="P1756" s="40">
        <v>9</v>
      </c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</row>
    <row r="1757" spans="1:48" s="27" customFormat="1" ht="15.75" customHeight="1">
      <c r="A1757" s="12"/>
      <c r="B1757" s="105" t="s">
        <v>790</v>
      </c>
      <c r="C1757" s="15" t="s">
        <v>791</v>
      </c>
      <c r="D1757" s="51"/>
      <c r="E1757" s="51"/>
      <c r="F1757" s="51"/>
      <c r="G1757" s="51"/>
      <c r="H1757" s="51"/>
      <c r="I1757" s="51"/>
      <c r="J1757" s="51"/>
      <c r="K1757" s="51"/>
      <c r="L1757" s="40">
        <v>1</v>
      </c>
      <c r="M1757" s="40">
        <v>1</v>
      </c>
      <c r="N1757" s="40">
        <v>3</v>
      </c>
      <c r="O1757" s="40">
        <v>3</v>
      </c>
      <c r="P1757" s="40">
        <v>4</v>
      </c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</row>
    <row r="1758" spans="1:48" s="27" customFormat="1" ht="15.75" customHeight="1">
      <c r="A1758" s="12"/>
      <c r="B1758" s="97" t="s">
        <v>1301</v>
      </c>
      <c r="C1758" s="29" t="s">
        <v>1302</v>
      </c>
      <c r="D1758" s="51"/>
      <c r="E1758" s="51"/>
      <c r="F1758" s="51"/>
      <c r="G1758" s="51"/>
      <c r="H1758" s="51"/>
      <c r="I1758" s="51"/>
      <c r="J1758" s="51"/>
      <c r="K1758" s="51"/>
      <c r="L1758" s="40">
        <v>3</v>
      </c>
      <c r="M1758" s="40">
        <v>3</v>
      </c>
      <c r="N1758" s="40">
        <v>5</v>
      </c>
      <c r="O1758" s="40">
        <v>6</v>
      </c>
      <c r="P1758" s="40">
        <v>7</v>
      </c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</row>
    <row r="1759" spans="1:48" s="27" customFormat="1" ht="15.75" customHeight="1">
      <c r="A1759" s="12"/>
      <c r="B1759" s="112" t="s">
        <v>795</v>
      </c>
      <c r="C1759" s="15" t="s">
        <v>796</v>
      </c>
      <c r="D1759" s="51"/>
      <c r="E1759" s="51"/>
      <c r="F1759" s="51"/>
      <c r="G1759" s="51"/>
      <c r="H1759" s="51"/>
      <c r="I1759" s="51"/>
      <c r="J1759" s="51"/>
      <c r="K1759" s="51"/>
      <c r="L1759" s="40" t="s">
        <v>556</v>
      </c>
      <c r="M1759" s="40" t="s">
        <v>556</v>
      </c>
      <c r="N1759" s="40">
        <v>1</v>
      </c>
      <c r="O1759" s="40">
        <v>1</v>
      </c>
      <c r="P1759" s="40">
        <v>1</v>
      </c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</row>
    <row r="1760" spans="1:48" s="27" customFormat="1" ht="15.75" customHeight="1">
      <c r="A1760" s="12"/>
      <c r="B1760" s="97" t="s">
        <v>560</v>
      </c>
      <c r="C1760" s="29" t="s">
        <v>1319</v>
      </c>
      <c r="D1760" s="51"/>
      <c r="E1760" s="51"/>
      <c r="F1760" s="51">
        <v>5</v>
      </c>
      <c r="G1760" s="51">
        <v>5</v>
      </c>
      <c r="H1760" s="51">
        <v>5</v>
      </c>
      <c r="I1760" s="51">
        <v>5</v>
      </c>
      <c r="J1760" s="51"/>
      <c r="K1760" s="51">
        <v>6</v>
      </c>
      <c r="L1760" s="40">
        <v>1</v>
      </c>
      <c r="M1760" s="40">
        <v>1</v>
      </c>
      <c r="N1760" s="40">
        <v>1</v>
      </c>
      <c r="O1760" s="40">
        <v>3</v>
      </c>
      <c r="P1760" s="40">
        <v>3</v>
      </c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</row>
    <row r="1761" spans="1:48" s="27" customFormat="1" ht="18" customHeight="1">
      <c r="A1761" s="12"/>
      <c r="B1761" s="97" t="s">
        <v>564</v>
      </c>
      <c r="C1761" s="29" t="s">
        <v>565</v>
      </c>
      <c r="D1761" s="51"/>
      <c r="E1761" s="51"/>
      <c r="F1761" s="51">
        <v>3</v>
      </c>
      <c r="G1761" s="51">
        <v>3</v>
      </c>
      <c r="H1761" s="51">
        <v>3</v>
      </c>
      <c r="I1761" s="51">
        <v>3</v>
      </c>
      <c r="J1761" s="51"/>
      <c r="K1761" s="51">
        <v>3</v>
      </c>
      <c r="L1761" s="40">
        <v>1</v>
      </c>
      <c r="M1761" s="40">
        <v>1</v>
      </c>
      <c r="N1761" s="40">
        <v>2</v>
      </c>
      <c r="O1761" s="40">
        <v>2</v>
      </c>
      <c r="P1761" s="40">
        <v>3</v>
      </c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</row>
    <row r="1762" spans="1:48" s="27" customFormat="1" ht="15" customHeight="1">
      <c r="A1762" s="12"/>
      <c r="B1762" s="97" t="s">
        <v>630</v>
      </c>
      <c r="C1762" s="64" t="s">
        <v>631</v>
      </c>
      <c r="D1762" s="51"/>
      <c r="E1762" s="51"/>
      <c r="F1762" s="51">
        <v>3</v>
      </c>
      <c r="G1762" s="51">
        <v>4</v>
      </c>
      <c r="H1762" s="51">
        <v>4</v>
      </c>
      <c r="I1762" s="51">
        <v>4</v>
      </c>
      <c r="J1762" s="51"/>
      <c r="K1762" s="51">
        <v>4</v>
      </c>
      <c r="L1762" s="40">
        <v>2</v>
      </c>
      <c r="M1762" s="40">
        <v>2</v>
      </c>
      <c r="N1762" s="40">
        <v>2</v>
      </c>
      <c r="O1762" s="40">
        <v>3</v>
      </c>
      <c r="P1762" s="40">
        <v>4</v>
      </c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</row>
    <row r="1763" spans="1:48" s="18" customFormat="1" ht="15.75" customHeight="1">
      <c r="A1763" s="50"/>
      <c r="B1763" s="93" t="s">
        <v>670</v>
      </c>
      <c r="C1763" s="16"/>
      <c r="D1763" s="52"/>
      <c r="E1763" s="52"/>
      <c r="F1763" s="52"/>
      <c r="G1763" s="52"/>
      <c r="H1763" s="52"/>
      <c r="I1763" s="52"/>
      <c r="J1763" s="52"/>
      <c r="K1763" s="52"/>
      <c r="L1763" s="60">
        <f>SUM(L1764:L1766)</f>
        <v>4</v>
      </c>
      <c r="M1763" s="60">
        <f>SUM(M1764:M1766)</f>
        <v>5</v>
      </c>
      <c r="N1763" s="60">
        <f>SUM(N1764:N1766)</f>
        <v>5</v>
      </c>
      <c r="O1763" s="60">
        <f>SUM(O1764:O1766)</f>
        <v>5</v>
      </c>
      <c r="P1763" s="60">
        <f>SUM(P1764:P1766)</f>
        <v>6</v>
      </c>
      <c r="T1763" s="47"/>
      <c r="U1763" s="47"/>
      <c r="V1763" s="47"/>
      <c r="W1763" s="47"/>
      <c r="X1763" s="47"/>
      <c r="Y1763" s="47"/>
      <c r="Z1763" s="47"/>
      <c r="AA1763" s="47"/>
      <c r="AB1763" s="47"/>
      <c r="AC1763" s="47"/>
      <c r="AD1763" s="47"/>
      <c r="AE1763" s="47"/>
      <c r="AF1763" s="47"/>
      <c r="AG1763" s="47"/>
      <c r="AH1763" s="47"/>
      <c r="AI1763" s="47"/>
      <c r="AJ1763" s="47"/>
      <c r="AK1763" s="47"/>
      <c r="AL1763" s="47"/>
      <c r="AM1763" s="47"/>
      <c r="AN1763" s="47"/>
      <c r="AO1763" s="47"/>
      <c r="AP1763" s="47"/>
      <c r="AQ1763" s="47"/>
      <c r="AR1763" s="47"/>
      <c r="AS1763" s="47"/>
      <c r="AT1763" s="47"/>
      <c r="AU1763" s="47"/>
      <c r="AV1763" s="47"/>
    </row>
    <row r="1764" spans="1:48" s="27" customFormat="1" ht="18" customHeight="1">
      <c r="A1764" s="12"/>
      <c r="B1764" s="97" t="s">
        <v>561</v>
      </c>
      <c r="C1764" s="66" t="s">
        <v>804</v>
      </c>
      <c r="D1764" s="51"/>
      <c r="E1764" s="51"/>
      <c r="F1764" s="51">
        <v>4</v>
      </c>
      <c r="G1764" s="51">
        <v>4</v>
      </c>
      <c r="H1764" s="51">
        <v>4</v>
      </c>
      <c r="I1764" s="51">
        <v>4</v>
      </c>
      <c r="J1764" s="51"/>
      <c r="K1764" s="51">
        <v>4</v>
      </c>
      <c r="L1764" s="40" t="s">
        <v>556</v>
      </c>
      <c r="M1764" s="40">
        <v>1</v>
      </c>
      <c r="N1764" s="40">
        <v>1</v>
      </c>
      <c r="O1764" s="40">
        <v>1</v>
      </c>
      <c r="P1764" s="40">
        <v>2</v>
      </c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</row>
    <row r="1765" spans="1:48" s="27" customFormat="1" ht="18" customHeight="1">
      <c r="A1765" s="12"/>
      <c r="B1765" s="111" t="s">
        <v>422</v>
      </c>
      <c r="C1765" s="15" t="s">
        <v>423</v>
      </c>
      <c r="D1765" s="51"/>
      <c r="E1765" s="51"/>
      <c r="F1765" s="51"/>
      <c r="G1765" s="51"/>
      <c r="H1765" s="51"/>
      <c r="I1765" s="51"/>
      <c r="J1765" s="51"/>
      <c r="K1765" s="51"/>
      <c r="L1765" s="40">
        <v>2</v>
      </c>
      <c r="M1765" s="40">
        <v>2</v>
      </c>
      <c r="N1765" s="40">
        <v>2</v>
      </c>
      <c r="O1765" s="40">
        <v>2</v>
      </c>
      <c r="P1765" s="40">
        <v>2</v>
      </c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</row>
    <row r="1766" spans="1:48" s="27" customFormat="1" ht="29.25" customHeight="1">
      <c r="A1766" s="12"/>
      <c r="B1766" s="97" t="s">
        <v>280</v>
      </c>
      <c r="C1766" s="66" t="s">
        <v>281</v>
      </c>
      <c r="D1766" s="51"/>
      <c r="E1766" s="51"/>
      <c r="F1766" s="51"/>
      <c r="G1766" s="51"/>
      <c r="H1766" s="51"/>
      <c r="I1766" s="51"/>
      <c r="J1766" s="51"/>
      <c r="K1766" s="51"/>
      <c r="L1766" s="40">
        <v>2</v>
      </c>
      <c r="M1766" s="40">
        <v>2</v>
      </c>
      <c r="N1766" s="40">
        <v>2</v>
      </c>
      <c r="O1766" s="40">
        <v>2</v>
      </c>
      <c r="P1766" s="40">
        <v>2</v>
      </c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</row>
    <row r="1767" spans="1:48" s="18" customFormat="1" ht="19.5" customHeight="1">
      <c r="A1767" s="50"/>
      <c r="B1767" s="93" t="s">
        <v>37</v>
      </c>
      <c r="C1767" s="16"/>
      <c r="D1767" s="52"/>
      <c r="E1767" s="51"/>
      <c r="F1767" s="52"/>
      <c r="G1767" s="52"/>
      <c r="H1767" s="52"/>
      <c r="I1767" s="52"/>
      <c r="J1767" s="52"/>
      <c r="K1767" s="52"/>
      <c r="L1767" s="60">
        <f>SUM(L1768:L1772)</f>
        <v>4</v>
      </c>
      <c r="M1767" s="60">
        <f>SUM(M1768:M1772)</f>
        <v>5</v>
      </c>
      <c r="N1767" s="60">
        <f>SUM(N1768:N1772)</f>
        <v>6</v>
      </c>
      <c r="O1767" s="60">
        <f>SUM(O1768:O1772)</f>
        <v>6</v>
      </c>
      <c r="P1767" s="60">
        <f>SUM(P1768:P1772)</f>
        <v>8</v>
      </c>
      <c r="T1767" s="47"/>
      <c r="U1767" s="47"/>
      <c r="V1767" s="47"/>
      <c r="W1767" s="47"/>
      <c r="X1767" s="47"/>
      <c r="Y1767" s="47"/>
      <c r="Z1767" s="47"/>
      <c r="AA1767" s="47"/>
      <c r="AB1767" s="47"/>
      <c r="AC1767" s="47"/>
      <c r="AD1767" s="47"/>
      <c r="AE1767" s="47"/>
      <c r="AF1767" s="47"/>
      <c r="AG1767" s="47"/>
      <c r="AH1767" s="47"/>
      <c r="AI1767" s="47"/>
      <c r="AJ1767" s="47"/>
      <c r="AK1767" s="47"/>
      <c r="AL1767" s="47"/>
      <c r="AM1767" s="47"/>
      <c r="AN1767" s="47"/>
      <c r="AO1767" s="47"/>
      <c r="AP1767" s="47"/>
      <c r="AQ1767" s="47"/>
      <c r="AR1767" s="47"/>
      <c r="AS1767" s="47"/>
      <c r="AT1767" s="47"/>
      <c r="AU1767" s="47"/>
      <c r="AV1767" s="47"/>
    </row>
    <row r="1768" spans="1:48" s="27" customFormat="1" ht="18" customHeight="1">
      <c r="A1768" s="12"/>
      <c r="B1768" s="107" t="s">
        <v>932</v>
      </c>
      <c r="C1768" s="29" t="s">
        <v>933</v>
      </c>
      <c r="D1768" s="51"/>
      <c r="E1768" s="51"/>
      <c r="F1768" s="51">
        <v>1</v>
      </c>
      <c r="G1768" s="51">
        <v>1</v>
      </c>
      <c r="H1768" s="51">
        <v>1</v>
      </c>
      <c r="I1768" s="51">
        <v>2</v>
      </c>
      <c r="J1768" s="51"/>
      <c r="K1768" s="51">
        <v>3</v>
      </c>
      <c r="L1768" s="40">
        <v>1</v>
      </c>
      <c r="M1768" s="40">
        <v>1</v>
      </c>
      <c r="N1768" s="40">
        <v>2</v>
      </c>
      <c r="O1768" s="40">
        <v>1</v>
      </c>
      <c r="P1768" s="40">
        <v>1</v>
      </c>
      <c r="Q1768" s="33" t="s">
        <v>556</v>
      </c>
      <c r="R1768" s="28" t="s">
        <v>556</v>
      </c>
      <c r="S1768" s="28" t="s">
        <v>556</v>
      </c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</row>
    <row r="1769" spans="1:48" s="27" customFormat="1" ht="16.5" customHeight="1">
      <c r="A1769" s="12"/>
      <c r="B1769" s="107" t="s">
        <v>934</v>
      </c>
      <c r="C1769" s="29" t="s">
        <v>935</v>
      </c>
      <c r="D1769" s="51"/>
      <c r="E1769" s="51"/>
      <c r="F1769" s="51">
        <v>2</v>
      </c>
      <c r="G1769" s="51">
        <v>2</v>
      </c>
      <c r="H1769" s="51">
        <v>3</v>
      </c>
      <c r="I1769" s="51">
        <v>2</v>
      </c>
      <c r="J1769" s="51"/>
      <c r="K1769" s="51">
        <v>2</v>
      </c>
      <c r="L1769" s="40">
        <v>1</v>
      </c>
      <c r="M1769" s="40">
        <v>1</v>
      </c>
      <c r="N1769" s="40">
        <v>2</v>
      </c>
      <c r="O1769" s="40">
        <v>3</v>
      </c>
      <c r="P1769" s="40">
        <v>2</v>
      </c>
      <c r="Q1769" s="33"/>
      <c r="R1769" s="33"/>
      <c r="S1769" s="33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</row>
    <row r="1770" spans="1:48" s="27" customFormat="1" ht="16.5" customHeight="1">
      <c r="A1770" s="12"/>
      <c r="B1770" s="106" t="s">
        <v>109</v>
      </c>
      <c r="C1770" s="66" t="s">
        <v>110</v>
      </c>
      <c r="D1770" s="51"/>
      <c r="E1770" s="51"/>
      <c r="F1770" s="51"/>
      <c r="G1770" s="51"/>
      <c r="H1770" s="51"/>
      <c r="I1770" s="51"/>
      <c r="J1770" s="51"/>
      <c r="K1770" s="51"/>
      <c r="L1770" s="40">
        <v>1</v>
      </c>
      <c r="M1770" s="40">
        <v>1</v>
      </c>
      <c r="N1770" s="40">
        <v>1</v>
      </c>
      <c r="O1770" s="40">
        <v>1</v>
      </c>
      <c r="P1770" s="40">
        <v>2</v>
      </c>
      <c r="Q1770" s="33"/>
      <c r="R1770" s="33"/>
      <c r="S1770" s="33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</row>
    <row r="1771" spans="1:48" s="27" customFormat="1" ht="16.5" customHeight="1">
      <c r="A1771" s="12"/>
      <c r="B1771" s="111" t="s">
        <v>862</v>
      </c>
      <c r="C1771" s="15" t="s">
        <v>863</v>
      </c>
      <c r="D1771" s="51"/>
      <c r="E1771" s="51"/>
      <c r="F1771" s="51"/>
      <c r="G1771" s="51"/>
      <c r="H1771" s="51"/>
      <c r="I1771" s="51"/>
      <c r="J1771" s="51"/>
      <c r="K1771" s="51"/>
      <c r="L1771" s="40">
        <v>1</v>
      </c>
      <c r="M1771" s="40">
        <v>1</v>
      </c>
      <c r="N1771" s="40">
        <v>1</v>
      </c>
      <c r="O1771" s="40">
        <v>1</v>
      </c>
      <c r="P1771" s="40">
        <v>2</v>
      </c>
      <c r="Q1771" s="33"/>
      <c r="R1771" s="33"/>
      <c r="S1771" s="33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</row>
    <row r="1772" spans="1:48" s="27" customFormat="1" ht="16.5" customHeight="1">
      <c r="A1772" s="12"/>
      <c r="B1772" s="97" t="s">
        <v>38</v>
      </c>
      <c r="C1772" s="66" t="s">
        <v>457</v>
      </c>
      <c r="D1772" s="51"/>
      <c r="E1772" s="51"/>
      <c r="F1772" s="51"/>
      <c r="G1772" s="51"/>
      <c r="H1772" s="51"/>
      <c r="I1772" s="51"/>
      <c r="J1772" s="51"/>
      <c r="K1772" s="51"/>
      <c r="L1772" s="40" t="s">
        <v>556</v>
      </c>
      <c r="M1772" s="40">
        <v>1</v>
      </c>
      <c r="N1772" s="40" t="s">
        <v>556</v>
      </c>
      <c r="O1772" s="40" t="s">
        <v>556</v>
      </c>
      <c r="P1772" s="40">
        <v>1</v>
      </c>
      <c r="Q1772" s="33"/>
      <c r="R1772" s="33"/>
      <c r="S1772" s="33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</row>
    <row r="1773" spans="1:188" s="57" customFormat="1" ht="18.75" customHeight="1">
      <c r="A1773" s="13">
        <v>6</v>
      </c>
      <c r="B1773" s="92" t="s">
        <v>93</v>
      </c>
      <c r="C1773" s="45"/>
      <c r="D1773" s="44">
        <v>142</v>
      </c>
      <c r="E1773" s="44">
        <v>23</v>
      </c>
      <c r="F1773" s="44">
        <v>60</v>
      </c>
      <c r="G1773" s="44">
        <v>54</v>
      </c>
      <c r="H1773" s="44">
        <v>55</v>
      </c>
      <c r="I1773" s="44">
        <v>53</v>
      </c>
      <c r="J1773" s="44"/>
      <c r="K1773" s="44">
        <v>50</v>
      </c>
      <c r="L1773" s="44">
        <f>SUM(L1774,L1791)</f>
        <v>66</v>
      </c>
      <c r="M1773" s="44">
        <f>SUM(M1774,M1791)</f>
        <v>79</v>
      </c>
      <c r="N1773" s="44">
        <f>SUM(N1774,N1791)</f>
        <v>88</v>
      </c>
      <c r="O1773" s="44">
        <f>SUM(O1774,O1791)</f>
        <v>93</v>
      </c>
      <c r="P1773" s="44">
        <f>SUM(P1774,P1791)</f>
        <v>96</v>
      </c>
      <c r="Q1773" s="54" t="s">
        <v>649</v>
      </c>
      <c r="R1773" s="54">
        <v>1</v>
      </c>
      <c r="S1773" s="55" t="s">
        <v>534</v>
      </c>
      <c r="T1773" s="56"/>
      <c r="U1773" s="56"/>
      <c r="V1773" s="56"/>
      <c r="W1773" s="56"/>
      <c r="X1773" s="56"/>
      <c r="Y1773" s="56"/>
      <c r="Z1773" s="56"/>
      <c r="AA1773" s="56"/>
      <c r="AB1773" s="56"/>
      <c r="AC1773" s="56"/>
      <c r="AD1773" s="56"/>
      <c r="AE1773" s="56"/>
      <c r="AF1773" s="56"/>
      <c r="AG1773" s="56"/>
      <c r="AH1773" s="56"/>
      <c r="AI1773" s="56"/>
      <c r="AJ1773" s="56"/>
      <c r="AK1773" s="56"/>
      <c r="AL1773" s="56"/>
      <c r="AM1773" s="56"/>
      <c r="AN1773" s="56"/>
      <c r="AO1773" s="56"/>
      <c r="AP1773" s="56"/>
      <c r="AQ1773" s="56"/>
      <c r="AR1773" s="56"/>
      <c r="AS1773" s="56"/>
      <c r="AT1773" s="56"/>
      <c r="AU1773" s="56"/>
      <c r="AV1773" s="56"/>
      <c r="AW1773" s="56"/>
      <c r="AX1773" s="56"/>
      <c r="AY1773" s="56"/>
      <c r="AZ1773" s="56"/>
      <c r="BA1773" s="56"/>
      <c r="BB1773" s="56"/>
      <c r="BC1773" s="56"/>
      <c r="BD1773" s="56"/>
      <c r="BE1773" s="56"/>
      <c r="BF1773" s="56"/>
      <c r="BG1773" s="56"/>
      <c r="BH1773" s="56"/>
      <c r="BI1773" s="56"/>
      <c r="BJ1773" s="56"/>
      <c r="BK1773" s="56"/>
      <c r="BL1773" s="56"/>
      <c r="BM1773" s="56"/>
      <c r="BN1773" s="56"/>
      <c r="BO1773" s="56"/>
      <c r="BP1773" s="56"/>
      <c r="BQ1773" s="56"/>
      <c r="BR1773" s="56"/>
      <c r="BS1773" s="56"/>
      <c r="BT1773" s="56"/>
      <c r="BU1773" s="56"/>
      <c r="BV1773" s="56"/>
      <c r="BW1773" s="56"/>
      <c r="BX1773" s="56"/>
      <c r="BY1773" s="56"/>
      <c r="BZ1773" s="56"/>
      <c r="CA1773" s="56"/>
      <c r="CB1773" s="56"/>
      <c r="CC1773" s="56"/>
      <c r="CD1773" s="56"/>
      <c r="CE1773" s="56"/>
      <c r="CF1773" s="56"/>
      <c r="CG1773" s="56"/>
      <c r="CH1773" s="56"/>
      <c r="CI1773" s="56"/>
      <c r="CJ1773" s="56"/>
      <c r="CK1773" s="56"/>
      <c r="CL1773" s="56"/>
      <c r="CM1773" s="56"/>
      <c r="CN1773" s="56"/>
      <c r="CO1773" s="56"/>
      <c r="CP1773" s="56"/>
      <c r="CQ1773" s="56"/>
      <c r="CR1773" s="56"/>
      <c r="CS1773" s="56"/>
      <c r="CT1773" s="56"/>
      <c r="CU1773" s="56"/>
      <c r="CV1773" s="56"/>
      <c r="CW1773" s="56"/>
      <c r="CX1773" s="56"/>
      <c r="CY1773" s="56"/>
      <c r="CZ1773" s="56"/>
      <c r="DA1773" s="56"/>
      <c r="DB1773" s="56"/>
      <c r="DC1773" s="56"/>
      <c r="DD1773" s="56"/>
      <c r="DE1773" s="56"/>
      <c r="DF1773" s="56"/>
      <c r="DG1773" s="56"/>
      <c r="DH1773" s="56"/>
      <c r="DI1773" s="56"/>
      <c r="DJ1773" s="56"/>
      <c r="DK1773" s="56"/>
      <c r="DL1773" s="56"/>
      <c r="DM1773" s="56"/>
      <c r="DN1773" s="56"/>
      <c r="DO1773" s="56"/>
      <c r="DP1773" s="56"/>
      <c r="DQ1773" s="56"/>
      <c r="DR1773" s="56"/>
      <c r="DS1773" s="56"/>
      <c r="DT1773" s="56"/>
      <c r="DU1773" s="56"/>
      <c r="DV1773" s="56"/>
      <c r="DW1773" s="56"/>
      <c r="DX1773" s="56"/>
      <c r="DY1773" s="56"/>
      <c r="DZ1773" s="56"/>
      <c r="EA1773" s="56"/>
      <c r="EB1773" s="56"/>
      <c r="EC1773" s="56"/>
      <c r="ED1773" s="56"/>
      <c r="EE1773" s="56"/>
      <c r="EF1773" s="56"/>
      <c r="EG1773" s="56"/>
      <c r="EH1773" s="56"/>
      <c r="EI1773" s="56"/>
      <c r="EJ1773" s="56"/>
      <c r="EK1773" s="56"/>
      <c r="EL1773" s="56"/>
      <c r="EM1773" s="56"/>
      <c r="EN1773" s="56"/>
      <c r="EO1773" s="56"/>
      <c r="EP1773" s="56"/>
      <c r="EQ1773" s="56"/>
      <c r="ER1773" s="56"/>
      <c r="ES1773" s="56"/>
      <c r="ET1773" s="56"/>
      <c r="EU1773" s="56"/>
      <c r="EV1773" s="56"/>
      <c r="EW1773" s="56"/>
      <c r="EX1773" s="56"/>
      <c r="EY1773" s="56"/>
      <c r="EZ1773" s="56"/>
      <c r="FA1773" s="56"/>
      <c r="FB1773" s="56"/>
      <c r="FC1773" s="56"/>
      <c r="FD1773" s="56"/>
      <c r="FE1773" s="56"/>
      <c r="FF1773" s="56"/>
      <c r="FG1773" s="56"/>
      <c r="FH1773" s="56"/>
      <c r="FI1773" s="56"/>
      <c r="FJ1773" s="56"/>
      <c r="FK1773" s="56"/>
      <c r="FL1773" s="56"/>
      <c r="FM1773" s="56"/>
      <c r="FN1773" s="56"/>
      <c r="FO1773" s="56"/>
      <c r="FP1773" s="56"/>
      <c r="FQ1773" s="56"/>
      <c r="FR1773" s="56"/>
      <c r="FS1773" s="56"/>
      <c r="FT1773" s="56"/>
      <c r="FU1773" s="56"/>
      <c r="FV1773" s="56"/>
      <c r="FW1773" s="56"/>
      <c r="FX1773" s="56"/>
      <c r="FY1773" s="56"/>
      <c r="FZ1773" s="56"/>
      <c r="GA1773" s="56"/>
      <c r="GB1773" s="56"/>
      <c r="GC1773" s="56"/>
      <c r="GD1773" s="56"/>
      <c r="GE1773" s="56"/>
      <c r="GF1773" s="56"/>
    </row>
    <row r="1774" spans="1:48" s="18" customFormat="1" ht="19.5" customHeight="1">
      <c r="A1774" s="50"/>
      <c r="B1774" s="93" t="s">
        <v>669</v>
      </c>
      <c r="C1774" s="16"/>
      <c r="D1774" s="52"/>
      <c r="E1774" s="52"/>
      <c r="F1774" s="52"/>
      <c r="G1774" s="52"/>
      <c r="H1774" s="52"/>
      <c r="I1774" s="52"/>
      <c r="J1774" s="52"/>
      <c r="K1774" s="52"/>
      <c r="L1774" s="60">
        <f>SUM(L1775:L1788)</f>
        <v>62</v>
      </c>
      <c r="M1774" s="60">
        <f>SUM(M1775:M1788)</f>
        <v>76</v>
      </c>
      <c r="N1774" s="60">
        <f>SUM(N1775:N1788)</f>
        <v>86</v>
      </c>
      <c r="O1774" s="60">
        <f>SUM(O1775:O1788)</f>
        <v>90</v>
      </c>
      <c r="P1774" s="60">
        <f>SUM(P1775:P1788)</f>
        <v>93</v>
      </c>
      <c r="T1774" s="47"/>
      <c r="U1774" s="47"/>
      <c r="V1774" s="47"/>
      <c r="W1774" s="47"/>
      <c r="X1774" s="47"/>
      <c r="Y1774" s="47"/>
      <c r="Z1774" s="47"/>
      <c r="AA1774" s="47"/>
      <c r="AB1774" s="47"/>
      <c r="AC1774" s="47"/>
      <c r="AD1774" s="47"/>
      <c r="AE1774" s="47"/>
      <c r="AF1774" s="47"/>
      <c r="AG1774" s="47"/>
      <c r="AH1774" s="47"/>
      <c r="AI1774" s="47"/>
      <c r="AJ1774" s="47"/>
      <c r="AK1774" s="47"/>
      <c r="AL1774" s="47"/>
      <c r="AM1774" s="47"/>
      <c r="AN1774" s="47"/>
      <c r="AO1774" s="47"/>
      <c r="AP1774" s="47"/>
      <c r="AQ1774" s="47"/>
      <c r="AR1774" s="47"/>
      <c r="AS1774" s="47"/>
      <c r="AT1774" s="47"/>
      <c r="AU1774" s="47"/>
      <c r="AV1774" s="47"/>
    </row>
    <row r="1775" spans="1:48" s="27" customFormat="1" ht="18" customHeight="1">
      <c r="A1775" s="12"/>
      <c r="B1775" s="97" t="s">
        <v>1316</v>
      </c>
      <c r="C1775" s="29" t="s">
        <v>1317</v>
      </c>
      <c r="D1775" s="51"/>
      <c r="E1775" s="51"/>
      <c r="F1775" s="51">
        <v>6</v>
      </c>
      <c r="G1775" s="51">
        <v>6</v>
      </c>
      <c r="H1775" s="51">
        <v>6</v>
      </c>
      <c r="I1775" s="51">
        <v>6</v>
      </c>
      <c r="J1775" s="51"/>
      <c r="K1775" s="51">
        <v>6</v>
      </c>
      <c r="L1775" s="40">
        <v>2</v>
      </c>
      <c r="M1775" s="40">
        <v>2</v>
      </c>
      <c r="N1775" s="40">
        <v>2</v>
      </c>
      <c r="O1775" s="40">
        <v>2</v>
      </c>
      <c r="P1775" s="40">
        <v>2</v>
      </c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</row>
    <row r="1776" spans="1:48" s="27" customFormat="1" ht="18" customHeight="1">
      <c r="A1776" s="12"/>
      <c r="B1776" s="97" t="s">
        <v>448</v>
      </c>
      <c r="C1776" s="29" t="s">
        <v>449</v>
      </c>
      <c r="D1776" s="51"/>
      <c r="E1776" s="51"/>
      <c r="F1776" s="51"/>
      <c r="G1776" s="51"/>
      <c r="H1776" s="51"/>
      <c r="I1776" s="51"/>
      <c r="J1776" s="51"/>
      <c r="K1776" s="51"/>
      <c r="L1776" s="40">
        <v>3</v>
      </c>
      <c r="M1776" s="40">
        <v>4</v>
      </c>
      <c r="N1776" s="40">
        <v>5</v>
      </c>
      <c r="O1776" s="40">
        <v>5</v>
      </c>
      <c r="P1776" s="40">
        <v>5</v>
      </c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</row>
    <row r="1777" spans="1:48" s="27" customFormat="1" ht="18" customHeight="1">
      <c r="A1777" s="12"/>
      <c r="B1777" s="97" t="s">
        <v>1051</v>
      </c>
      <c r="C1777" s="29" t="s">
        <v>1052</v>
      </c>
      <c r="D1777" s="51"/>
      <c r="E1777" s="51"/>
      <c r="F1777" s="51"/>
      <c r="G1777" s="51"/>
      <c r="H1777" s="51"/>
      <c r="I1777" s="51"/>
      <c r="J1777" s="51"/>
      <c r="K1777" s="51"/>
      <c r="L1777" s="40" t="s">
        <v>556</v>
      </c>
      <c r="M1777" s="40">
        <v>1</v>
      </c>
      <c r="N1777" s="40">
        <v>1</v>
      </c>
      <c r="O1777" s="40">
        <v>1</v>
      </c>
      <c r="P1777" s="40">
        <v>1</v>
      </c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</row>
    <row r="1778" spans="1:48" s="27" customFormat="1" ht="18" customHeight="1">
      <c r="A1778" s="12"/>
      <c r="B1778" s="97" t="s">
        <v>599</v>
      </c>
      <c r="C1778" s="15" t="s">
        <v>600</v>
      </c>
      <c r="D1778" s="51"/>
      <c r="E1778" s="51"/>
      <c r="F1778" s="51">
        <v>7</v>
      </c>
      <c r="G1778" s="51">
        <v>7</v>
      </c>
      <c r="H1778" s="51">
        <v>7</v>
      </c>
      <c r="I1778" s="51">
        <v>10</v>
      </c>
      <c r="J1778" s="51"/>
      <c r="K1778" s="51">
        <v>10</v>
      </c>
      <c r="L1778" s="40">
        <v>2</v>
      </c>
      <c r="M1778" s="40">
        <v>5</v>
      </c>
      <c r="N1778" s="40">
        <v>7</v>
      </c>
      <c r="O1778" s="40">
        <v>7</v>
      </c>
      <c r="P1778" s="40">
        <v>7</v>
      </c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</row>
    <row r="1779" spans="1:48" s="27" customFormat="1" ht="18" customHeight="1">
      <c r="A1779" s="12"/>
      <c r="B1779" s="105" t="s">
        <v>788</v>
      </c>
      <c r="C1779" s="15" t="s">
        <v>789</v>
      </c>
      <c r="D1779" s="51"/>
      <c r="E1779" s="51"/>
      <c r="F1779" s="51"/>
      <c r="G1779" s="51"/>
      <c r="H1779" s="51"/>
      <c r="I1779" s="51"/>
      <c r="J1779" s="51"/>
      <c r="K1779" s="51"/>
      <c r="L1779" s="40">
        <v>4</v>
      </c>
      <c r="M1779" s="40">
        <v>6</v>
      </c>
      <c r="N1779" s="40">
        <v>8</v>
      </c>
      <c r="O1779" s="40">
        <v>8</v>
      </c>
      <c r="P1779" s="40">
        <v>8</v>
      </c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</row>
    <row r="1780" spans="1:48" s="27" customFormat="1" ht="18" customHeight="1">
      <c r="A1780" s="12"/>
      <c r="B1780" s="111" t="s">
        <v>750</v>
      </c>
      <c r="C1780" s="29" t="s">
        <v>1313</v>
      </c>
      <c r="D1780" s="51"/>
      <c r="E1780" s="51"/>
      <c r="F1780" s="51"/>
      <c r="G1780" s="51"/>
      <c r="H1780" s="51"/>
      <c r="I1780" s="51"/>
      <c r="J1780" s="51"/>
      <c r="K1780" s="51"/>
      <c r="L1780" s="40">
        <v>1</v>
      </c>
      <c r="M1780" s="40">
        <v>1</v>
      </c>
      <c r="N1780" s="40">
        <v>2</v>
      </c>
      <c r="O1780" s="40">
        <v>2</v>
      </c>
      <c r="P1780" s="40">
        <v>3</v>
      </c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</row>
    <row r="1781" spans="1:48" s="27" customFormat="1" ht="18" customHeight="1">
      <c r="A1781" s="12"/>
      <c r="B1781" s="111" t="s">
        <v>748</v>
      </c>
      <c r="C1781" s="15" t="s">
        <v>749</v>
      </c>
      <c r="D1781" s="51"/>
      <c r="E1781" s="51"/>
      <c r="F1781" s="51"/>
      <c r="G1781" s="51"/>
      <c r="H1781" s="51"/>
      <c r="I1781" s="51"/>
      <c r="J1781" s="51"/>
      <c r="K1781" s="51"/>
      <c r="L1781" s="40">
        <v>6</v>
      </c>
      <c r="M1781" s="40">
        <v>6</v>
      </c>
      <c r="N1781" s="40">
        <v>11</v>
      </c>
      <c r="O1781" s="40">
        <v>11</v>
      </c>
      <c r="P1781" s="40">
        <v>11</v>
      </c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</row>
    <row r="1782" spans="1:48" s="27" customFormat="1" ht="18" customHeight="1">
      <c r="A1782" s="12"/>
      <c r="B1782" s="105" t="s">
        <v>414</v>
      </c>
      <c r="C1782" s="15" t="s">
        <v>1026</v>
      </c>
      <c r="D1782" s="51"/>
      <c r="E1782" s="51"/>
      <c r="F1782" s="51"/>
      <c r="G1782" s="51"/>
      <c r="H1782" s="51"/>
      <c r="I1782" s="51"/>
      <c r="J1782" s="51"/>
      <c r="K1782" s="51"/>
      <c r="L1782" s="40">
        <v>3</v>
      </c>
      <c r="M1782" s="40">
        <v>5</v>
      </c>
      <c r="N1782" s="40">
        <v>7</v>
      </c>
      <c r="O1782" s="40">
        <v>9</v>
      </c>
      <c r="P1782" s="40">
        <v>9</v>
      </c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</row>
    <row r="1783" spans="1:48" s="27" customFormat="1" ht="18" customHeight="1">
      <c r="A1783" s="12"/>
      <c r="B1783" s="97" t="s">
        <v>1318</v>
      </c>
      <c r="C1783" s="29" t="s">
        <v>598</v>
      </c>
      <c r="D1783" s="51"/>
      <c r="E1783" s="51"/>
      <c r="F1783" s="51"/>
      <c r="G1783" s="51"/>
      <c r="H1783" s="51"/>
      <c r="I1783" s="51"/>
      <c r="J1783" s="51"/>
      <c r="K1783" s="51"/>
      <c r="L1783" s="40">
        <v>20</v>
      </c>
      <c r="M1783" s="40">
        <v>20</v>
      </c>
      <c r="N1783" s="40">
        <v>20</v>
      </c>
      <c r="O1783" s="40">
        <v>20</v>
      </c>
      <c r="P1783" s="40">
        <v>20</v>
      </c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</row>
    <row r="1784" spans="1:48" s="27" customFormat="1" ht="18" customHeight="1">
      <c r="A1784" s="12"/>
      <c r="B1784" s="97" t="s">
        <v>599</v>
      </c>
      <c r="C1784" s="15" t="s">
        <v>600</v>
      </c>
      <c r="D1784" s="51"/>
      <c r="E1784" s="51"/>
      <c r="F1784" s="51"/>
      <c r="G1784" s="51"/>
      <c r="H1784" s="51"/>
      <c r="I1784" s="51"/>
      <c r="J1784" s="51"/>
      <c r="K1784" s="51"/>
      <c r="L1784" s="40">
        <v>10</v>
      </c>
      <c r="M1784" s="40">
        <v>10</v>
      </c>
      <c r="N1784" s="40">
        <v>5</v>
      </c>
      <c r="O1784" s="40">
        <v>5</v>
      </c>
      <c r="P1784" s="40">
        <v>5</v>
      </c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</row>
    <row r="1785" spans="1:48" s="27" customFormat="1" ht="18" customHeight="1">
      <c r="A1785" s="12"/>
      <c r="B1785" s="97" t="s">
        <v>453</v>
      </c>
      <c r="C1785" s="29" t="s">
        <v>454</v>
      </c>
      <c r="D1785" s="51"/>
      <c r="E1785" s="51"/>
      <c r="F1785" s="51"/>
      <c r="G1785" s="51"/>
      <c r="H1785" s="51"/>
      <c r="I1785" s="51"/>
      <c r="J1785" s="51"/>
      <c r="K1785" s="51"/>
      <c r="L1785" s="40">
        <v>7</v>
      </c>
      <c r="M1785" s="40">
        <v>10</v>
      </c>
      <c r="N1785" s="40">
        <v>10</v>
      </c>
      <c r="O1785" s="40">
        <v>10</v>
      </c>
      <c r="P1785" s="40">
        <v>10</v>
      </c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</row>
    <row r="1786" spans="1:48" s="27" customFormat="1" ht="18" customHeight="1">
      <c r="A1786" s="12"/>
      <c r="B1786" s="97" t="s">
        <v>1301</v>
      </c>
      <c r="C1786" s="29" t="s">
        <v>1302</v>
      </c>
      <c r="D1786" s="51"/>
      <c r="E1786" s="51"/>
      <c r="F1786" s="51"/>
      <c r="G1786" s="51"/>
      <c r="H1786" s="51"/>
      <c r="I1786" s="51"/>
      <c r="J1786" s="51"/>
      <c r="K1786" s="51"/>
      <c r="L1786" s="40" t="s">
        <v>556</v>
      </c>
      <c r="M1786" s="40">
        <v>1</v>
      </c>
      <c r="N1786" s="40">
        <v>1</v>
      </c>
      <c r="O1786" s="40">
        <v>1</v>
      </c>
      <c r="P1786" s="40">
        <v>1</v>
      </c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</row>
    <row r="1787" spans="1:48" s="27" customFormat="1" ht="15.75" customHeight="1">
      <c r="A1787" s="12"/>
      <c r="B1787" s="97" t="s">
        <v>560</v>
      </c>
      <c r="C1787" s="29" t="s">
        <v>1319</v>
      </c>
      <c r="D1787" s="51"/>
      <c r="E1787" s="51"/>
      <c r="F1787" s="51">
        <v>5</v>
      </c>
      <c r="G1787" s="51">
        <v>5</v>
      </c>
      <c r="H1787" s="51">
        <v>5</v>
      </c>
      <c r="I1787" s="51">
        <v>5</v>
      </c>
      <c r="J1787" s="51"/>
      <c r="K1787" s="51">
        <v>6</v>
      </c>
      <c r="L1787" s="40">
        <v>2</v>
      </c>
      <c r="M1787" s="40">
        <v>2</v>
      </c>
      <c r="N1787" s="40">
        <v>4</v>
      </c>
      <c r="O1787" s="40">
        <v>6</v>
      </c>
      <c r="P1787" s="40">
        <v>8</v>
      </c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</row>
    <row r="1788" spans="1:48" s="27" customFormat="1" ht="15" customHeight="1">
      <c r="A1788" s="12"/>
      <c r="B1788" s="97" t="s">
        <v>630</v>
      </c>
      <c r="C1788" s="64" t="s">
        <v>631</v>
      </c>
      <c r="D1788" s="51"/>
      <c r="E1788" s="51"/>
      <c r="F1788" s="51">
        <v>3</v>
      </c>
      <c r="G1788" s="51">
        <v>4</v>
      </c>
      <c r="H1788" s="51">
        <v>4</v>
      </c>
      <c r="I1788" s="51">
        <v>4</v>
      </c>
      <c r="J1788" s="51"/>
      <c r="K1788" s="51">
        <v>4</v>
      </c>
      <c r="L1788" s="40">
        <v>2</v>
      </c>
      <c r="M1788" s="40">
        <v>3</v>
      </c>
      <c r="N1788" s="40">
        <v>3</v>
      </c>
      <c r="O1788" s="40">
        <v>3</v>
      </c>
      <c r="P1788" s="40">
        <v>3</v>
      </c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</row>
    <row r="1789" spans="1:48" s="18" customFormat="1" ht="15.75" customHeight="1">
      <c r="A1789" s="50"/>
      <c r="B1789" s="93" t="s">
        <v>670</v>
      </c>
      <c r="C1789" s="16"/>
      <c r="D1789" s="52"/>
      <c r="E1789" s="52"/>
      <c r="F1789" s="52"/>
      <c r="G1789" s="52"/>
      <c r="H1789" s="52"/>
      <c r="I1789" s="52"/>
      <c r="J1789" s="52"/>
      <c r="K1789" s="52"/>
      <c r="L1789" s="60">
        <f>L1790</f>
        <v>1</v>
      </c>
      <c r="M1789" s="60">
        <f>M1790</f>
        <v>1</v>
      </c>
      <c r="N1789" s="60">
        <f>N1790</f>
        <v>1</v>
      </c>
      <c r="O1789" s="60">
        <f>O1790</f>
        <v>1</v>
      </c>
      <c r="P1789" s="60">
        <f>P1790</f>
        <v>1</v>
      </c>
      <c r="T1789" s="47"/>
      <c r="U1789" s="47"/>
      <c r="V1789" s="47"/>
      <c r="W1789" s="47"/>
      <c r="X1789" s="47"/>
      <c r="Y1789" s="47"/>
      <c r="Z1789" s="47"/>
      <c r="AA1789" s="47"/>
      <c r="AB1789" s="47"/>
      <c r="AC1789" s="47"/>
      <c r="AD1789" s="47"/>
      <c r="AE1789" s="47"/>
      <c r="AF1789" s="47"/>
      <c r="AG1789" s="47"/>
      <c r="AH1789" s="47"/>
      <c r="AI1789" s="47"/>
      <c r="AJ1789" s="47"/>
      <c r="AK1789" s="47"/>
      <c r="AL1789" s="47"/>
      <c r="AM1789" s="47"/>
      <c r="AN1789" s="47"/>
      <c r="AO1789" s="47"/>
      <c r="AP1789" s="47"/>
      <c r="AQ1789" s="47"/>
      <c r="AR1789" s="47"/>
      <c r="AS1789" s="47"/>
      <c r="AT1789" s="47"/>
      <c r="AU1789" s="47"/>
      <c r="AV1789" s="47"/>
    </row>
    <row r="1790" spans="1:48" s="27" customFormat="1" ht="18" customHeight="1">
      <c r="A1790" s="12"/>
      <c r="B1790" s="97" t="s">
        <v>566</v>
      </c>
      <c r="C1790" s="15" t="s">
        <v>567</v>
      </c>
      <c r="D1790" s="51"/>
      <c r="E1790" s="51"/>
      <c r="F1790" s="51">
        <v>4</v>
      </c>
      <c r="G1790" s="51">
        <v>4</v>
      </c>
      <c r="H1790" s="51">
        <v>4</v>
      </c>
      <c r="I1790" s="51">
        <v>4</v>
      </c>
      <c r="J1790" s="51"/>
      <c r="K1790" s="51">
        <v>4</v>
      </c>
      <c r="L1790" s="40">
        <v>1</v>
      </c>
      <c r="M1790" s="40">
        <v>1</v>
      </c>
      <c r="N1790" s="40">
        <v>1</v>
      </c>
      <c r="O1790" s="40">
        <v>1</v>
      </c>
      <c r="P1790" s="40">
        <v>1</v>
      </c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</row>
    <row r="1791" spans="1:48" s="18" customFormat="1" ht="19.5" customHeight="1">
      <c r="A1791" s="50"/>
      <c r="B1791" s="93" t="s">
        <v>37</v>
      </c>
      <c r="C1791" s="16"/>
      <c r="D1791" s="52"/>
      <c r="E1791" s="51"/>
      <c r="F1791" s="52"/>
      <c r="G1791" s="52"/>
      <c r="H1791" s="52"/>
      <c r="I1791" s="52"/>
      <c r="J1791" s="52"/>
      <c r="K1791" s="52"/>
      <c r="L1791" s="60">
        <f>SUM(L1792:L1795)</f>
        <v>4</v>
      </c>
      <c r="M1791" s="60">
        <f>SUM(M1792:M1795)</f>
        <v>3</v>
      </c>
      <c r="N1791" s="60">
        <f>SUM(N1792:N1795)</f>
        <v>2</v>
      </c>
      <c r="O1791" s="60">
        <f>SUM(O1792:O1795)</f>
        <v>3</v>
      </c>
      <c r="P1791" s="60">
        <f>SUM(P1792:P1795)</f>
        <v>3</v>
      </c>
      <c r="T1791" s="47"/>
      <c r="U1791" s="47"/>
      <c r="V1791" s="47"/>
      <c r="W1791" s="47"/>
      <c r="X1791" s="47"/>
      <c r="Y1791" s="47"/>
      <c r="Z1791" s="47"/>
      <c r="AA1791" s="47"/>
      <c r="AB1791" s="47"/>
      <c r="AC1791" s="47"/>
      <c r="AD1791" s="47"/>
      <c r="AE1791" s="47"/>
      <c r="AF1791" s="47"/>
      <c r="AG1791" s="47"/>
      <c r="AH1791" s="47"/>
      <c r="AI1791" s="47"/>
      <c r="AJ1791" s="47"/>
      <c r="AK1791" s="47"/>
      <c r="AL1791" s="47"/>
      <c r="AM1791" s="47"/>
      <c r="AN1791" s="47"/>
      <c r="AO1791" s="47"/>
      <c r="AP1791" s="47"/>
      <c r="AQ1791" s="47"/>
      <c r="AR1791" s="47"/>
      <c r="AS1791" s="47"/>
      <c r="AT1791" s="47"/>
      <c r="AU1791" s="47"/>
      <c r="AV1791" s="47"/>
    </row>
    <row r="1792" spans="1:48" s="27" customFormat="1" ht="18" customHeight="1">
      <c r="A1792" s="12"/>
      <c r="B1792" s="97" t="s">
        <v>794</v>
      </c>
      <c r="C1792" s="15" t="s">
        <v>800</v>
      </c>
      <c r="D1792" s="51"/>
      <c r="E1792" s="51"/>
      <c r="F1792" s="51">
        <v>1</v>
      </c>
      <c r="G1792" s="51">
        <v>1</v>
      </c>
      <c r="H1792" s="51">
        <v>1</v>
      </c>
      <c r="I1792" s="51">
        <v>2</v>
      </c>
      <c r="J1792" s="51"/>
      <c r="K1792" s="51">
        <v>3</v>
      </c>
      <c r="L1792" s="40">
        <v>1</v>
      </c>
      <c r="M1792" s="40" t="s">
        <v>556</v>
      </c>
      <c r="N1792" s="40" t="s">
        <v>556</v>
      </c>
      <c r="O1792" s="40">
        <v>1</v>
      </c>
      <c r="P1792" s="40">
        <v>1</v>
      </c>
      <c r="Q1792" s="33" t="s">
        <v>556</v>
      </c>
      <c r="R1792" s="28" t="s">
        <v>556</v>
      </c>
      <c r="S1792" s="28" t="s">
        <v>556</v>
      </c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</row>
    <row r="1793" spans="1:48" s="27" customFormat="1" ht="16.5" customHeight="1">
      <c r="A1793" s="12"/>
      <c r="B1793" s="107" t="s">
        <v>934</v>
      </c>
      <c r="C1793" s="29" t="s">
        <v>935</v>
      </c>
      <c r="D1793" s="51"/>
      <c r="E1793" s="51"/>
      <c r="F1793" s="51">
        <v>2</v>
      </c>
      <c r="G1793" s="51">
        <v>2</v>
      </c>
      <c r="H1793" s="51">
        <v>3</v>
      </c>
      <c r="I1793" s="51">
        <v>2</v>
      </c>
      <c r="J1793" s="51"/>
      <c r="K1793" s="51">
        <v>2</v>
      </c>
      <c r="L1793" s="40">
        <v>1</v>
      </c>
      <c r="M1793" s="40" t="s">
        <v>556</v>
      </c>
      <c r="N1793" s="40" t="s">
        <v>556</v>
      </c>
      <c r="O1793" s="40" t="s">
        <v>556</v>
      </c>
      <c r="P1793" s="40" t="s">
        <v>556</v>
      </c>
      <c r="Q1793" s="33"/>
      <c r="R1793" s="33"/>
      <c r="S1793" s="33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</row>
    <row r="1794" spans="1:48" s="27" customFormat="1" ht="16.5" customHeight="1">
      <c r="A1794" s="12"/>
      <c r="B1794" s="106" t="s">
        <v>109</v>
      </c>
      <c r="C1794" s="66" t="s">
        <v>110</v>
      </c>
      <c r="D1794" s="51"/>
      <c r="E1794" s="51"/>
      <c r="F1794" s="51"/>
      <c r="G1794" s="51"/>
      <c r="H1794" s="51"/>
      <c r="I1794" s="51"/>
      <c r="J1794" s="51"/>
      <c r="K1794" s="51"/>
      <c r="L1794" s="40" t="s">
        <v>556</v>
      </c>
      <c r="M1794" s="40">
        <v>1</v>
      </c>
      <c r="N1794" s="40" t="s">
        <v>556</v>
      </c>
      <c r="O1794" s="40" t="s">
        <v>556</v>
      </c>
      <c r="P1794" s="40" t="s">
        <v>556</v>
      </c>
      <c r="Q1794" s="33"/>
      <c r="R1794" s="33"/>
      <c r="S1794" s="33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</row>
    <row r="1795" spans="1:48" s="27" customFormat="1" ht="16.5" customHeight="1">
      <c r="A1795" s="12"/>
      <c r="B1795" s="109" t="s">
        <v>71</v>
      </c>
      <c r="C1795" s="66" t="s">
        <v>41</v>
      </c>
      <c r="D1795" s="51"/>
      <c r="E1795" s="51"/>
      <c r="F1795" s="51"/>
      <c r="G1795" s="51"/>
      <c r="H1795" s="51"/>
      <c r="I1795" s="51"/>
      <c r="J1795" s="51"/>
      <c r="K1795" s="51"/>
      <c r="L1795" s="40">
        <v>2</v>
      </c>
      <c r="M1795" s="40">
        <v>2</v>
      </c>
      <c r="N1795" s="40">
        <v>2</v>
      </c>
      <c r="O1795" s="40">
        <v>2</v>
      </c>
      <c r="P1795" s="40">
        <v>2</v>
      </c>
      <c r="Q1795" s="33"/>
      <c r="R1795" s="33"/>
      <c r="S1795" s="33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</row>
    <row r="1796" spans="1:187" s="57" customFormat="1" ht="18.75" customHeight="1">
      <c r="A1796" s="13">
        <v>7</v>
      </c>
      <c r="B1796" s="108" t="s">
        <v>92</v>
      </c>
      <c r="C1796" s="45"/>
      <c r="D1796" s="44">
        <v>139</v>
      </c>
      <c r="E1796" s="44">
        <v>9</v>
      </c>
      <c r="F1796" s="44">
        <v>52</v>
      </c>
      <c r="G1796" s="44">
        <v>62</v>
      </c>
      <c r="H1796" s="44">
        <v>64</v>
      </c>
      <c r="I1796" s="44">
        <v>65</v>
      </c>
      <c r="J1796" s="44"/>
      <c r="K1796" s="44">
        <v>66</v>
      </c>
      <c r="L1796" s="44">
        <f>L1797</f>
        <v>18</v>
      </c>
      <c r="M1796" s="44">
        <f>M1797</f>
        <v>18</v>
      </c>
      <c r="N1796" s="44">
        <f>N1797</f>
        <v>18</v>
      </c>
      <c r="O1796" s="44">
        <f>O1797</f>
        <v>18</v>
      </c>
      <c r="P1796" s="44">
        <f>P1797</f>
        <v>18</v>
      </c>
      <c r="Q1796" s="54" t="s">
        <v>648</v>
      </c>
      <c r="R1796" s="54">
        <v>1</v>
      </c>
      <c r="S1796" s="55" t="s">
        <v>444</v>
      </c>
      <c r="T1796" s="56"/>
      <c r="U1796" s="56"/>
      <c r="V1796" s="56"/>
      <c r="W1796" s="56"/>
      <c r="X1796" s="56"/>
      <c r="Y1796" s="56"/>
      <c r="Z1796" s="56"/>
      <c r="AA1796" s="56"/>
      <c r="AB1796" s="56"/>
      <c r="AC1796" s="56"/>
      <c r="AD1796" s="56"/>
      <c r="AE1796" s="56"/>
      <c r="AF1796" s="56"/>
      <c r="AG1796" s="56"/>
      <c r="AH1796" s="56"/>
      <c r="AI1796" s="56"/>
      <c r="AJ1796" s="56"/>
      <c r="AK1796" s="56"/>
      <c r="AL1796" s="56"/>
      <c r="AM1796" s="56"/>
      <c r="AN1796" s="56"/>
      <c r="AO1796" s="56"/>
      <c r="AP1796" s="56"/>
      <c r="AQ1796" s="56"/>
      <c r="AR1796" s="56"/>
      <c r="AS1796" s="56"/>
      <c r="AT1796" s="56"/>
      <c r="AU1796" s="56"/>
      <c r="AV1796" s="56"/>
      <c r="AW1796" s="56"/>
      <c r="AX1796" s="56"/>
      <c r="AY1796" s="56"/>
      <c r="AZ1796" s="56"/>
      <c r="BA1796" s="56"/>
      <c r="BB1796" s="56"/>
      <c r="BC1796" s="56"/>
      <c r="BD1796" s="56"/>
      <c r="BE1796" s="56"/>
      <c r="BF1796" s="56"/>
      <c r="BG1796" s="56"/>
      <c r="BH1796" s="56"/>
      <c r="BI1796" s="56"/>
      <c r="BJ1796" s="56"/>
      <c r="BK1796" s="56"/>
      <c r="BL1796" s="56"/>
      <c r="BM1796" s="56"/>
      <c r="BN1796" s="56"/>
      <c r="BO1796" s="56"/>
      <c r="BP1796" s="56"/>
      <c r="BQ1796" s="56"/>
      <c r="BR1796" s="56"/>
      <c r="BS1796" s="56"/>
      <c r="BT1796" s="56"/>
      <c r="BU1796" s="56"/>
      <c r="BV1796" s="56"/>
      <c r="BW1796" s="56"/>
      <c r="BX1796" s="56"/>
      <c r="BY1796" s="56"/>
      <c r="BZ1796" s="56"/>
      <c r="CA1796" s="56"/>
      <c r="CB1796" s="56"/>
      <c r="CC1796" s="56"/>
      <c r="CD1796" s="56"/>
      <c r="CE1796" s="56"/>
      <c r="CF1796" s="56"/>
      <c r="CG1796" s="56"/>
      <c r="CH1796" s="56"/>
      <c r="CI1796" s="56"/>
      <c r="CJ1796" s="56"/>
      <c r="CK1796" s="56"/>
      <c r="CL1796" s="56"/>
      <c r="CM1796" s="56"/>
      <c r="CN1796" s="56"/>
      <c r="CO1796" s="56"/>
      <c r="CP1796" s="56"/>
      <c r="CQ1796" s="56"/>
      <c r="CR1796" s="56"/>
      <c r="CS1796" s="56"/>
      <c r="CT1796" s="56"/>
      <c r="CU1796" s="56"/>
      <c r="CV1796" s="56"/>
      <c r="CW1796" s="56"/>
      <c r="CX1796" s="56"/>
      <c r="CY1796" s="56"/>
      <c r="CZ1796" s="56"/>
      <c r="DA1796" s="56"/>
      <c r="DB1796" s="56"/>
      <c r="DC1796" s="56"/>
      <c r="DD1796" s="56"/>
      <c r="DE1796" s="56"/>
      <c r="DF1796" s="56"/>
      <c r="DG1796" s="56"/>
      <c r="DH1796" s="56"/>
      <c r="DI1796" s="56"/>
      <c r="DJ1796" s="56"/>
      <c r="DK1796" s="56"/>
      <c r="DL1796" s="56"/>
      <c r="DM1796" s="56"/>
      <c r="DN1796" s="56"/>
      <c r="DO1796" s="56"/>
      <c r="DP1796" s="56"/>
      <c r="DQ1796" s="56"/>
      <c r="DR1796" s="56"/>
      <c r="DS1796" s="56"/>
      <c r="DT1796" s="56"/>
      <c r="DU1796" s="56"/>
      <c r="DV1796" s="56"/>
      <c r="DW1796" s="56"/>
      <c r="DX1796" s="56"/>
      <c r="DY1796" s="56"/>
      <c r="DZ1796" s="56"/>
      <c r="EA1796" s="56"/>
      <c r="EB1796" s="56"/>
      <c r="EC1796" s="56"/>
      <c r="ED1796" s="56"/>
      <c r="EE1796" s="56"/>
      <c r="EF1796" s="56"/>
      <c r="EG1796" s="56"/>
      <c r="EH1796" s="56"/>
      <c r="EI1796" s="56"/>
      <c r="EJ1796" s="56"/>
      <c r="EK1796" s="56"/>
      <c r="EL1796" s="56"/>
      <c r="EM1796" s="56"/>
      <c r="EN1796" s="56"/>
      <c r="EO1796" s="56"/>
      <c r="EP1796" s="56"/>
      <c r="EQ1796" s="56"/>
      <c r="ER1796" s="56"/>
      <c r="ES1796" s="56"/>
      <c r="ET1796" s="56"/>
      <c r="EU1796" s="56"/>
      <c r="EV1796" s="56"/>
      <c r="EW1796" s="56"/>
      <c r="EX1796" s="56"/>
      <c r="EY1796" s="56"/>
      <c r="EZ1796" s="56"/>
      <c r="FA1796" s="56"/>
      <c r="FB1796" s="56"/>
      <c r="FC1796" s="56"/>
      <c r="FD1796" s="56"/>
      <c r="FE1796" s="56"/>
      <c r="FF1796" s="56"/>
      <c r="FG1796" s="56"/>
      <c r="FH1796" s="56"/>
      <c r="FI1796" s="56"/>
      <c r="FJ1796" s="56"/>
      <c r="FK1796" s="56"/>
      <c r="FL1796" s="56"/>
      <c r="FM1796" s="56"/>
      <c r="FN1796" s="56"/>
      <c r="FO1796" s="56"/>
      <c r="FP1796" s="56"/>
      <c r="FQ1796" s="56"/>
      <c r="FR1796" s="56"/>
      <c r="FS1796" s="56"/>
      <c r="FT1796" s="56"/>
      <c r="FU1796" s="56"/>
      <c r="FV1796" s="56"/>
      <c r="FW1796" s="56"/>
      <c r="FX1796" s="56"/>
      <c r="FY1796" s="56"/>
      <c r="FZ1796" s="56"/>
      <c r="GA1796" s="56"/>
      <c r="GB1796" s="56"/>
      <c r="GC1796" s="56"/>
      <c r="GD1796" s="56"/>
      <c r="GE1796" s="56"/>
    </row>
    <row r="1797" spans="1:48" s="18" customFormat="1" ht="18" customHeight="1">
      <c r="A1797" s="50"/>
      <c r="B1797" s="93" t="s">
        <v>669</v>
      </c>
      <c r="C1797" s="16"/>
      <c r="D1797" s="52"/>
      <c r="E1797" s="52"/>
      <c r="F1797" s="52"/>
      <c r="G1797" s="52"/>
      <c r="H1797" s="52"/>
      <c r="I1797" s="52"/>
      <c r="J1797" s="52"/>
      <c r="K1797" s="52"/>
      <c r="L1797" s="60">
        <f>SUM(L1798:L1800)</f>
        <v>18</v>
      </c>
      <c r="M1797" s="60">
        <f>SUM(M1798:M1800)</f>
        <v>18</v>
      </c>
      <c r="N1797" s="60">
        <f>SUM(N1798:N1800)</f>
        <v>18</v>
      </c>
      <c r="O1797" s="60">
        <f>SUM(O1798:O1800)</f>
        <v>18</v>
      </c>
      <c r="P1797" s="60">
        <f>SUM(P1798:P1800)</f>
        <v>18</v>
      </c>
      <c r="Q1797" s="23"/>
      <c r="R1797" s="23"/>
      <c r="S1797" s="17"/>
      <c r="T1797" s="47"/>
      <c r="U1797" s="47"/>
      <c r="V1797" s="47"/>
      <c r="W1797" s="47"/>
      <c r="X1797" s="47"/>
      <c r="Y1797" s="47"/>
      <c r="Z1797" s="47"/>
      <c r="AA1797" s="47"/>
      <c r="AB1797" s="47"/>
      <c r="AC1797" s="47"/>
      <c r="AD1797" s="47"/>
      <c r="AE1797" s="47"/>
      <c r="AF1797" s="47"/>
      <c r="AG1797" s="47"/>
      <c r="AH1797" s="47"/>
      <c r="AI1797" s="47"/>
      <c r="AJ1797" s="47"/>
      <c r="AK1797" s="47"/>
      <c r="AL1797" s="47"/>
      <c r="AM1797" s="47"/>
      <c r="AN1797" s="47"/>
      <c r="AO1797" s="47"/>
      <c r="AP1797" s="47"/>
      <c r="AQ1797" s="47"/>
      <c r="AR1797" s="47"/>
      <c r="AS1797" s="47"/>
      <c r="AT1797" s="47"/>
      <c r="AU1797" s="47"/>
      <c r="AV1797" s="47"/>
    </row>
    <row r="1798" spans="1:48" s="27" customFormat="1" ht="17.25" customHeight="1">
      <c r="A1798" s="12"/>
      <c r="B1798" s="97" t="s">
        <v>1318</v>
      </c>
      <c r="C1798" s="29" t="s">
        <v>598</v>
      </c>
      <c r="D1798" s="40"/>
      <c r="E1798" s="40"/>
      <c r="F1798" s="40">
        <v>18</v>
      </c>
      <c r="G1798" s="40">
        <v>22</v>
      </c>
      <c r="H1798" s="40">
        <v>23</v>
      </c>
      <c r="I1798" s="40">
        <v>24</v>
      </c>
      <c r="J1798" s="40"/>
      <c r="K1798" s="40">
        <v>24</v>
      </c>
      <c r="L1798" s="40">
        <v>4</v>
      </c>
      <c r="M1798" s="40">
        <v>4</v>
      </c>
      <c r="N1798" s="40">
        <v>4</v>
      </c>
      <c r="O1798" s="40">
        <v>4</v>
      </c>
      <c r="P1798" s="40">
        <v>4</v>
      </c>
      <c r="Q1798" s="30"/>
      <c r="R1798" s="30"/>
      <c r="S1798" s="30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</row>
    <row r="1799" spans="1:48" s="27" customFormat="1" ht="17.25" customHeight="1">
      <c r="A1799" s="12"/>
      <c r="B1799" s="97" t="s">
        <v>599</v>
      </c>
      <c r="C1799" s="15" t="s">
        <v>600</v>
      </c>
      <c r="D1799" s="40"/>
      <c r="E1799" s="40"/>
      <c r="F1799" s="40"/>
      <c r="G1799" s="40"/>
      <c r="H1799" s="40"/>
      <c r="I1799" s="40"/>
      <c r="J1799" s="40"/>
      <c r="K1799" s="40"/>
      <c r="L1799" s="40">
        <v>2</v>
      </c>
      <c r="M1799" s="40">
        <v>2</v>
      </c>
      <c r="N1799" s="40">
        <v>2</v>
      </c>
      <c r="O1799" s="40">
        <v>2</v>
      </c>
      <c r="P1799" s="40">
        <v>2</v>
      </c>
      <c r="Q1799" s="30"/>
      <c r="R1799" s="30"/>
      <c r="S1799" s="30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</row>
    <row r="1800" spans="1:48" s="27" customFormat="1" ht="17.25" customHeight="1">
      <c r="A1800" s="12"/>
      <c r="B1800" s="97" t="s">
        <v>453</v>
      </c>
      <c r="C1800" s="29" t="s">
        <v>454</v>
      </c>
      <c r="D1800" s="40"/>
      <c r="E1800" s="40"/>
      <c r="F1800" s="40">
        <v>5</v>
      </c>
      <c r="G1800" s="40">
        <v>16</v>
      </c>
      <c r="H1800" s="40">
        <v>16</v>
      </c>
      <c r="I1800" s="40">
        <v>16</v>
      </c>
      <c r="J1800" s="40"/>
      <c r="K1800" s="40">
        <v>16</v>
      </c>
      <c r="L1800" s="40">
        <v>12</v>
      </c>
      <c r="M1800" s="40">
        <v>12</v>
      </c>
      <c r="N1800" s="40">
        <v>12</v>
      </c>
      <c r="O1800" s="40">
        <v>12</v>
      </c>
      <c r="P1800" s="40">
        <v>12</v>
      </c>
      <c r="Q1800" s="30"/>
      <c r="R1800" s="30"/>
      <c r="S1800" s="30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</row>
    <row r="1801" spans="1:188" s="57" customFormat="1" ht="20.25" customHeight="1">
      <c r="A1801" s="13">
        <v>8</v>
      </c>
      <c r="B1801" s="92" t="s">
        <v>248</v>
      </c>
      <c r="C1801" s="45"/>
      <c r="D1801" s="44">
        <v>600</v>
      </c>
      <c r="E1801" s="44">
        <v>61</v>
      </c>
      <c r="F1801" s="44">
        <v>88</v>
      </c>
      <c r="G1801" s="44">
        <v>571</v>
      </c>
      <c r="H1801" s="44">
        <v>583</v>
      </c>
      <c r="I1801" s="44">
        <v>592</v>
      </c>
      <c r="J1801" s="44"/>
      <c r="K1801" s="44">
        <v>602</v>
      </c>
      <c r="L1801" s="44">
        <f>L1802+L1805</f>
        <v>13</v>
      </c>
      <c r="M1801" s="44">
        <f>M1802+M1805</f>
        <v>13</v>
      </c>
      <c r="N1801" s="44">
        <f>N1802+N1805</f>
        <v>13</v>
      </c>
      <c r="O1801" s="44">
        <f>O1802+O1805</f>
        <v>13</v>
      </c>
      <c r="P1801" s="44">
        <f>P1802+P1805</f>
        <v>13</v>
      </c>
      <c r="Q1801" s="54" t="s">
        <v>648</v>
      </c>
      <c r="R1801" s="54">
        <v>1</v>
      </c>
      <c r="S1801" s="55" t="s">
        <v>551</v>
      </c>
      <c r="T1801" s="56"/>
      <c r="U1801" s="56"/>
      <c r="V1801" s="56"/>
      <c r="W1801" s="56"/>
      <c r="X1801" s="56"/>
      <c r="Y1801" s="56"/>
      <c r="Z1801" s="56"/>
      <c r="AA1801" s="56"/>
      <c r="AB1801" s="56"/>
      <c r="AC1801" s="56"/>
      <c r="AD1801" s="56"/>
      <c r="AE1801" s="56"/>
      <c r="AF1801" s="56"/>
      <c r="AG1801" s="56"/>
      <c r="AH1801" s="56"/>
      <c r="AI1801" s="56"/>
      <c r="AJ1801" s="56"/>
      <c r="AK1801" s="56"/>
      <c r="AL1801" s="56"/>
      <c r="AM1801" s="56"/>
      <c r="AN1801" s="56"/>
      <c r="AO1801" s="56"/>
      <c r="AP1801" s="56"/>
      <c r="AQ1801" s="56"/>
      <c r="AR1801" s="56"/>
      <c r="AS1801" s="56"/>
      <c r="AT1801" s="56"/>
      <c r="AU1801" s="56"/>
      <c r="AV1801" s="56"/>
      <c r="AW1801" s="56"/>
      <c r="AX1801" s="56"/>
      <c r="AY1801" s="56"/>
      <c r="AZ1801" s="56"/>
      <c r="BA1801" s="56"/>
      <c r="BB1801" s="56"/>
      <c r="BC1801" s="56"/>
      <c r="BD1801" s="56"/>
      <c r="BE1801" s="56"/>
      <c r="BF1801" s="56"/>
      <c r="BG1801" s="56"/>
      <c r="BH1801" s="56"/>
      <c r="BI1801" s="56"/>
      <c r="BJ1801" s="56"/>
      <c r="BK1801" s="56"/>
      <c r="BL1801" s="56"/>
      <c r="BM1801" s="56"/>
      <c r="BN1801" s="56"/>
      <c r="BO1801" s="56"/>
      <c r="BP1801" s="56"/>
      <c r="BQ1801" s="56"/>
      <c r="BR1801" s="56"/>
      <c r="BS1801" s="56"/>
      <c r="BT1801" s="56"/>
      <c r="BU1801" s="56"/>
      <c r="BV1801" s="56"/>
      <c r="BW1801" s="56"/>
      <c r="BX1801" s="56"/>
      <c r="BY1801" s="56"/>
      <c r="BZ1801" s="56"/>
      <c r="CA1801" s="56"/>
      <c r="CB1801" s="56"/>
      <c r="CC1801" s="56"/>
      <c r="CD1801" s="56"/>
      <c r="CE1801" s="56"/>
      <c r="CF1801" s="56"/>
      <c r="CG1801" s="56"/>
      <c r="CH1801" s="56"/>
      <c r="CI1801" s="56"/>
      <c r="CJ1801" s="56"/>
      <c r="CK1801" s="56"/>
      <c r="CL1801" s="56"/>
      <c r="CM1801" s="56"/>
      <c r="CN1801" s="56"/>
      <c r="CO1801" s="56"/>
      <c r="CP1801" s="56"/>
      <c r="CQ1801" s="56"/>
      <c r="CR1801" s="56"/>
      <c r="CS1801" s="56"/>
      <c r="CT1801" s="56"/>
      <c r="CU1801" s="56"/>
      <c r="CV1801" s="56"/>
      <c r="CW1801" s="56"/>
      <c r="CX1801" s="56"/>
      <c r="CY1801" s="56"/>
      <c r="CZ1801" s="56"/>
      <c r="DA1801" s="56"/>
      <c r="DB1801" s="56"/>
      <c r="DC1801" s="56"/>
      <c r="DD1801" s="56"/>
      <c r="DE1801" s="56"/>
      <c r="DF1801" s="56"/>
      <c r="DG1801" s="56"/>
      <c r="DH1801" s="56"/>
      <c r="DI1801" s="56"/>
      <c r="DJ1801" s="56"/>
      <c r="DK1801" s="56"/>
      <c r="DL1801" s="56"/>
      <c r="DM1801" s="56"/>
      <c r="DN1801" s="56"/>
      <c r="DO1801" s="56"/>
      <c r="DP1801" s="56"/>
      <c r="DQ1801" s="56"/>
      <c r="DR1801" s="56"/>
      <c r="DS1801" s="56"/>
      <c r="DT1801" s="56"/>
      <c r="DU1801" s="56"/>
      <c r="DV1801" s="56"/>
      <c r="DW1801" s="56"/>
      <c r="DX1801" s="56"/>
      <c r="DY1801" s="56"/>
      <c r="DZ1801" s="56"/>
      <c r="EA1801" s="56"/>
      <c r="EB1801" s="56"/>
      <c r="EC1801" s="56"/>
      <c r="ED1801" s="56"/>
      <c r="EE1801" s="56"/>
      <c r="EF1801" s="56"/>
      <c r="EG1801" s="56"/>
      <c r="EH1801" s="56"/>
      <c r="EI1801" s="56"/>
      <c r="EJ1801" s="56"/>
      <c r="EK1801" s="56"/>
      <c r="EL1801" s="56"/>
      <c r="EM1801" s="56"/>
      <c r="EN1801" s="56"/>
      <c r="EO1801" s="56"/>
      <c r="EP1801" s="56"/>
      <c r="EQ1801" s="56"/>
      <c r="ER1801" s="56"/>
      <c r="ES1801" s="56"/>
      <c r="ET1801" s="56"/>
      <c r="EU1801" s="56"/>
      <c r="EV1801" s="56"/>
      <c r="EW1801" s="56"/>
      <c r="EX1801" s="56"/>
      <c r="EY1801" s="56"/>
      <c r="EZ1801" s="56"/>
      <c r="FA1801" s="56"/>
      <c r="FB1801" s="56"/>
      <c r="FC1801" s="56"/>
      <c r="FD1801" s="56"/>
      <c r="FE1801" s="56"/>
      <c r="FF1801" s="56"/>
      <c r="FG1801" s="56"/>
      <c r="FH1801" s="56"/>
      <c r="FI1801" s="56"/>
      <c r="FJ1801" s="56"/>
      <c r="FK1801" s="56"/>
      <c r="FL1801" s="56"/>
      <c r="FM1801" s="56"/>
      <c r="FN1801" s="56"/>
      <c r="FO1801" s="56"/>
      <c r="FP1801" s="56"/>
      <c r="FQ1801" s="56"/>
      <c r="FR1801" s="56"/>
      <c r="FS1801" s="56"/>
      <c r="FT1801" s="56"/>
      <c r="FU1801" s="56"/>
      <c r="FV1801" s="56"/>
      <c r="FW1801" s="56"/>
      <c r="FX1801" s="56"/>
      <c r="FY1801" s="56"/>
      <c r="FZ1801" s="56"/>
      <c r="GA1801" s="56"/>
      <c r="GB1801" s="56"/>
      <c r="GC1801" s="56"/>
      <c r="GD1801" s="56"/>
      <c r="GE1801" s="56"/>
      <c r="GF1801" s="56"/>
    </row>
    <row r="1802" spans="1:48" s="18" customFormat="1" ht="18" customHeight="1">
      <c r="A1802" s="50"/>
      <c r="B1802" s="93" t="s">
        <v>669</v>
      </c>
      <c r="C1802" s="16"/>
      <c r="D1802" s="52"/>
      <c r="E1802" s="51"/>
      <c r="F1802" s="52"/>
      <c r="G1802" s="52"/>
      <c r="H1802" s="52"/>
      <c r="I1802" s="52"/>
      <c r="J1802" s="52"/>
      <c r="K1802" s="52"/>
      <c r="L1802" s="60">
        <f>SUM(L1803:L1804)</f>
        <v>7</v>
      </c>
      <c r="M1802" s="60">
        <f>SUM(M1803:M1804)</f>
        <v>7</v>
      </c>
      <c r="N1802" s="60">
        <f>SUM(N1803:N1804)</f>
        <v>7</v>
      </c>
      <c r="O1802" s="60">
        <f>SUM(O1803:O1804)</f>
        <v>7</v>
      </c>
      <c r="P1802" s="60">
        <f>SUM(P1803:P1804)</f>
        <v>7</v>
      </c>
      <c r="T1802" s="47"/>
      <c r="U1802" s="47"/>
      <c r="V1802" s="47"/>
      <c r="W1802" s="47"/>
      <c r="X1802" s="47"/>
      <c r="Y1802" s="47"/>
      <c r="Z1802" s="47"/>
      <c r="AA1802" s="47"/>
      <c r="AB1802" s="47"/>
      <c r="AC1802" s="47"/>
      <c r="AD1802" s="47"/>
      <c r="AE1802" s="47"/>
      <c r="AF1802" s="47"/>
      <c r="AG1802" s="47"/>
      <c r="AH1802" s="47"/>
      <c r="AI1802" s="47"/>
      <c r="AJ1802" s="47"/>
      <c r="AK1802" s="47"/>
      <c r="AL1802" s="47"/>
      <c r="AM1802" s="47"/>
      <c r="AN1802" s="47"/>
      <c r="AO1802" s="47"/>
      <c r="AP1802" s="47"/>
      <c r="AQ1802" s="47"/>
      <c r="AR1802" s="47"/>
      <c r="AS1802" s="47"/>
      <c r="AT1802" s="47"/>
      <c r="AU1802" s="47"/>
      <c r="AV1802" s="47"/>
    </row>
    <row r="1803" spans="1:48" s="27" customFormat="1" ht="18" customHeight="1">
      <c r="A1803" s="12"/>
      <c r="B1803" s="97" t="s">
        <v>599</v>
      </c>
      <c r="C1803" s="15" t="s">
        <v>600</v>
      </c>
      <c r="D1803" s="51"/>
      <c r="E1803" s="51"/>
      <c r="F1803" s="51"/>
      <c r="G1803" s="51">
        <v>9</v>
      </c>
      <c r="H1803" s="51">
        <v>11</v>
      </c>
      <c r="I1803" s="51">
        <v>11</v>
      </c>
      <c r="J1803" s="51"/>
      <c r="K1803" s="51">
        <v>11</v>
      </c>
      <c r="L1803" s="40">
        <v>3</v>
      </c>
      <c r="M1803" s="40">
        <v>5</v>
      </c>
      <c r="N1803" s="40">
        <v>5</v>
      </c>
      <c r="O1803" s="40">
        <v>5</v>
      </c>
      <c r="P1803" s="40">
        <v>5</v>
      </c>
      <c r="Q1803" s="33" t="s">
        <v>556</v>
      </c>
      <c r="R1803" s="28" t="s">
        <v>556</v>
      </c>
      <c r="S1803" s="28" t="s">
        <v>556</v>
      </c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</row>
    <row r="1804" spans="1:48" s="27" customFormat="1" ht="18" customHeight="1">
      <c r="A1804" s="12"/>
      <c r="B1804" s="105" t="s">
        <v>1318</v>
      </c>
      <c r="C1804" s="15">
        <v>15030121</v>
      </c>
      <c r="D1804" s="51"/>
      <c r="E1804" s="51"/>
      <c r="F1804" s="51"/>
      <c r="G1804" s="51"/>
      <c r="H1804" s="51"/>
      <c r="I1804" s="51"/>
      <c r="J1804" s="51"/>
      <c r="K1804" s="51"/>
      <c r="L1804" s="40">
        <v>4</v>
      </c>
      <c r="M1804" s="40">
        <v>2</v>
      </c>
      <c r="N1804" s="40">
        <v>2</v>
      </c>
      <c r="O1804" s="40">
        <v>2</v>
      </c>
      <c r="P1804" s="40">
        <v>2</v>
      </c>
      <c r="Q1804" s="39"/>
      <c r="R1804" s="39"/>
      <c r="S1804" s="39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</row>
    <row r="1805" spans="1:48" s="18" customFormat="1" ht="15.75" customHeight="1">
      <c r="A1805" s="50"/>
      <c r="B1805" s="93" t="s">
        <v>670</v>
      </c>
      <c r="C1805" s="16"/>
      <c r="D1805" s="52"/>
      <c r="E1805" s="52"/>
      <c r="F1805" s="52"/>
      <c r="G1805" s="52"/>
      <c r="H1805" s="52"/>
      <c r="I1805" s="52"/>
      <c r="J1805" s="52"/>
      <c r="K1805" s="52"/>
      <c r="L1805" s="60">
        <f>SUM(L1806:L1807)</f>
        <v>6</v>
      </c>
      <c r="M1805" s="60">
        <f>SUM(M1806:M1807)</f>
        <v>6</v>
      </c>
      <c r="N1805" s="60">
        <f>SUM(N1806:N1807)</f>
        <v>6</v>
      </c>
      <c r="O1805" s="60">
        <f>SUM(O1806:O1807)</f>
        <v>6</v>
      </c>
      <c r="P1805" s="60">
        <f>SUM(P1806:P1807)</f>
        <v>6</v>
      </c>
      <c r="T1805" s="47"/>
      <c r="U1805" s="47"/>
      <c r="V1805" s="47"/>
      <c r="W1805" s="47"/>
      <c r="X1805" s="47"/>
      <c r="Y1805" s="47"/>
      <c r="Z1805" s="47"/>
      <c r="AA1805" s="47"/>
      <c r="AB1805" s="47"/>
      <c r="AC1805" s="47"/>
      <c r="AD1805" s="47"/>
      <c r="AE1805" s="47"/>
      <c r="AF1805" s="47"/>
      <c r="AG1805" s="47"/>
      <c r="AH1805" s="47"/>
      <c r="AI1805" s="47"/>
      <c r="AJ1805" s="47"/>
      <c r="AK1805" s="47"/>
      <c r="AL1805" s="47"/>
      <c r="AM1805" s="47"/>
      <c r="AN1805" s="47"/>
      <c r="AO1805" s="47"/>
      <c r="AP1805" s="47"/>
      <c r="AQ1805" s="47"/>
      <c r="AR1805" s="47"/>
      <c r="AS1805" s="47"/>
      <c r="AT1805" s="47"/>
      <c r="AU1805" s="47"/>
      <c r="AV1805" s="47"/>
    </row>
    <row r="1806" spans="1:48" s="27" customFormat="1" ht="18" customHeight="1">
      <c r="A1806" s="12"/>
      <c r="B1806" s="111" t="s">
        <v>422</v>
      </c>
      <c r="C1806" s="15" t="s">
        <v>423</v>
      </c>
      <c r="D1806" s="51"/>
      <c r="E1806" s="51"/>
      <c r="F1806" s="51">
        <v>4</v>
      </c>
      <c r="G1806" s="51">
        <v>4</v>
      </c>
      <c r="H1806" s="51">
        <v>4</v>
      </c>
      <c r="I1806" s="51">
        <v>4</v>
      </c>
      <c r="J1806" s="51"/>
      <c r="K1806" s="51">
        <v>4</v>
      </c>
      <c r="L1806" s="40">
        <v>2</v>
      </c>
      <c r="M1806" s="40">
        <v>2</v>
      </c>
      <c r="N1806" s="40">
        <v>2</v>
      </c>
      <c r="O1806" s="40">
        <v>2</v>
      </c>
      <c r="P1806" s="40">
        <v>2</v>
      </c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</row>
    <row r="1807" spans="1:48" s="27" customFormat="1" ht="30" customHeight="1">
      <c r="A1807" s="12"/>
      <c r="B1807" s="97" t="s">
        <v>280</v>
      </c>
      <c r="C1807" s="66" t="s">
        <v>281</v>
      </c>
      <c r="D1807" s="51"/>
      <c r="E1807" s="51"/>
      <c r="F1807" s="51"/>
      <c r="G1807" s="51"/>
      <c r="H1807" s="51"/>
      <c r="I1807" s="51"/>
      <c r="J1807" s="51"/>
      <c r="K1807" s="51"/>
      <c r="L1807" s="40">
        <v>4</v>
      </c>
      <c r="M1807" s="40">
        <v>4</v>
      </c>
      <c r="N1807" s="40">
        <v>4</v>
      </c>
      <c r="O1807" s="40">
        <v>4</v>
      </c>
      <c r="P1807" s="40">
        <v>4</v>
      </c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</row>
    <row r="1808" spans="1:188" s="57" customFormat="1" ht="20.25" customHeight="1">
      <c r="A1808" s="13">
        <v>9</v>
      </c>
      <c r="B1808" s="92" t="s">
        <v>289</v>
      </c>
      <c r="C1808" s="45"/>
      <c r="D1808" s="44">
        <v>130</v>
      </c>
      <c r="E1808" s="44"/>
      <c r="F1808" s="44">
        <v>88</v>
      </c>
      <c r="G1808" s="44">
        <v>571</v>
      </c>
      <c r="H1808" s="44">
        <v>583</v>
      </c>
      <c r="I1808" s="44">
        <v>592</v>
      </c>
      <c r="J1808" s="44"/>
      <c r="K1808" s="44">
        <v>602</v>
      </c>
      <c r="L1808" s="44">
        <f>L1809</f>
        <v>4</v>
      </c>
      <c r="M1808" s="44">
        <f>M1809</f>
        <v>4</v>
      </c>
      <c r="N1808" s="44">
        <f>N1809</f>
        <v>4</v>
      </c>
      <c r="O1808" s="44">
        <f>O1809</f>
        <v>4</v>
      </c>
      <c r="P1808" s="44">
        <f>P1809</f>
        <v>4</v>
      </c>
      <c r="Q1808" s="54" t="s">
        <v>648</v>
      </c>
      <c r="R1808" s="54">
        <v>1</v>
      </c>
      <c r="S1808" s="55" t="s">
        <v>551</v>
      </c>
      <c r="T1808" s="56"/>
      <c r="U1808" s="56"/>
      <c r="V1808" s="56"/>
      <c r="W1808" s="56"/>
      <c r="X1808" s="56"/>
      <c r="Y1808" s="56"/>
      <c r="Z1808" s="56"/>
      <c r="AA1808" s="56"/>
      <c r="AB1808" s="56"/>
      <c r="AC1808" s="56"/>
      <c r="AD1808" s="56"/>
      <c r="AE1808" s="56"/>
      <c r="AF1808" s="56"/>
      <c r="AG1808" s="56"/>
      <c r="AH1808" s="56"/>
      <c r="AI1808" s="56"/>
      <c r="AJ1808" s="56"/>
      <c r="AK1808" s="56"/>
      <c r="AL1808" s="56"/>
      <c r="AM1808" s="56"/>
      <c r="AN1808" s="56"/>
      <c r="AO1808" s="56"/>
      <c r="AP1808" s="56"/>
      <c r="AQ1808" s="56"/>
      <c r="AR1808" s="56"/>
      <c r="AS1808" s="56"/>
      <c r="AT1808" s="56"/>
      <c r="AU1808" s="56"/>
      <c r="AV1808" s="56"/>
      <c r="AW1808" s="56"/>
      <c r="AX1808" s="56"/>
      <c r="AY1808" s="56"/>
      <c r="AZ1808" s="56"/>
      <c r="BA1808" s="56"/>
      <c r="BB1808" s="56"/>
      <c r="BC1808" s="56"/>
      <c r="BD1808" s="56"/>
      <c r="BE1808" s="56"/>
      <c r="BF1808" s="56"/>
      <c r="BG1808" s="56"/>
      <c r="BH1808" s="56"/>
      <c r="BI1808" s="56"/>
      <c r="BJ1808" s="56"/>
      <c r="BK1808" s="56"/>
      <c r="BL1808" s="56"/>
      <c r="BM1808" s="56"/>
      <c r="BN1808" s="56"/>
      <c r="BO1808" s="56"/>
      <c r="BP1808" s="56"/>
      <c r="BQ1808" s="56"/>
      <c r="BR1808" s="56"/>
      <c r="BS1808" s="56"/>
      <c r="BT1808" s="56"/>
      <c r="BU1808" s="56"/>
      <c r="BV1808" s="56"/>
      <c r="BW1808" s="56"/>
      <c r="BX1808" s="56"/>
      <c r="BY1808" s="56"/>
      <c r="BZ1808" s="56"/>
      <c r="CA1808" s="56"/>
      <c r="CB1808" s="56"/>
      <c r="CC1808" s="56"/>
      <c r="CD1808" s="56"/>
      <c r="CE1808" s="56"/>
      <c r="CF1808" s="56"/>
      <c r="CG1808" s="56"/>
      <c r="CH1808" s="56"/>
      <c r="CI1808" s="56"/>
      <c r="CJ1808" s="56"/>
      <c r="CK1808" s="56"/>
      <c r="CL1808" s="56"/>
      <c r="CM1808" s="56"/>
      <c r="CN1808" s="56"/>
      <c r="CO1808" s="56"/>
      <c r="CP1808" s="56"/>
      <c r="CQ1808" s="56"/>
      <c r="CR1808" s="56"/>
      <c r="CS1808" s="56"/>
      <c r="CT1808" s="56"/>
      <c r="CU1808" s="56"/>
      <c r="CV1808" s="56"/>
      <c r="CW1808" s="56"/>
      <c r="CX1808" s="56"/>
      <c r="CY1808" s="56"/>
      <c r="CZ1808" s="56"/>
      <c r="DA1808" s="56"/>
      <c r="DB1808" s="56"/>
      <c r="DC1808" s="56"/>
      <c r="DD1808" s="56"/>
      <c r="DE1808" s="56"/>
      <c r="DF1808" s="56"/>
      <c r="DG1808" s="56"/>
      <c r="DH1808" s="56"/>
      <c r="DI1808" s="56"/>
      <c r="DJ1808" s="56"/>
      <c r="DK1808" s="56"/>
      <c r="DL1808" s="56"/>
      <c r="DM1808" s="56"/>
      <c r="DN1808" s="56"/>
      <c r="DO1808" s="56"/>
      <c r="DP1808" s="56"/>
      <c r="DQ1808" s="56"/>
      <c r="DR1808" s="56"/>
      <c r="DS1808" s="56"/>
      <c r="DT1808" s="56"/>
      <c r="DU1808" s="56"/>
      <c r="DV1808" s="56"/>
      <c r="DW1808" s="56"/>
      <c r="DX1808" s="56"/>
      <c r="DY1808" s="56"/>
      <c r="DZ1808" s="56"/>
      <c r="EA1808" s="56"/>
      <c r="EB1808" s="56"/>
      <c r="EC1808" s="56"/>
      <c r="ED1808" s="56"/>
      <c r="EE1808" s="56"/>
      <c r="EF1808" s="56"/>
      <c r="EG1808" s="56"/>
      <c r="EH1808" s="56"/>
      <c r="EI1808" s="56"/>
      <c r="EJ1808" s="56"/>
      <c r="EK1808" s="56"/>
      <c r="EL1808" s="56"/>
      <c r="EM1808" s="56"/>
      <c r="EN1808" s="56"/>
      <c r="EO1808" s="56"/>
      <c r="EP1808" s="56"/>
      <c r="EQ1808" s="56"/>
      <c r="ER1808" s="56"/>
      <c r="ES1808" s="56"/>
      <c r="ET1808" s="56"/>
      <c r="EU1808" s="56"/>
      <c r="EV1808" s="56"/>
      <c r="EW1808" s="56"/>
      <c r="EX1808" s="56"/>
      <c r="EY1808" s="56"/>
      <c r="EZ1808" s="56"/>
      <c r="FA1808" s="56"/>
      <c r="FB1808" s="56"/>
      <c r="FC1808" s="56"/>
      <c r="FD1808" s="56"/>
      <c r="FE1808" s="56"/>
      <c r="FF1808" s="56"/>
      <c r="FG1808" s="56"/>
      <c r="FH1808" s="56"/>
      <c r="FI1808" s="56"/>
      <c r="FJ1808" s="56"/>
      <c r="FK1808" s="56"/>
      <c r="FL1808" s="56"/>
      <c r="FM1808" s="56"/>
      <c r="FN1808" s="56"/>
      <c r="FO1808" s="56"/>
      <c r="FP1808" s="56"/>
      <c r="FQ1808" s="56"/>
      <c r="FR1808" s="56"/>
      <c r="FS1808" s="56"/>
      <c r="FT1808" s="56"/>
      <c r="FU1808" s="56"/>
      <c r="FV1808" s="56"/>
      <c r="FW1808" s="56"/>
      <c r="FX1808" s="56"/>
      <c r="FY1808" s="56"/>
      <c r="FZ1808" s="56"/>
      <c r="GA1808" s="56"/>
      <c r="GB1808" s="56"/>
      <c r="GC1808" s="56"/>
      <c r="GD1808" s="56"/>
      <c r="GE1808" s="56"/>
      <c r="GF1808" s="56"/>
    </row>
    <row r="1809" spans="1:48" s="18" customFormat="1" ht="18" customHeight="1">
      <c r="A1809" s="50"/>
      <c r="B1809" s="93" t="s">
        <v>670</v>
      </c>
      <c r="C1809" s="16"/>
      <c r="D1809" s="52"/>
      <c r="E1809" s="51"/>
      <c r="F1809" s="52"/>
      <c r="G1809" s="52"/>
      <c r="H1809" s="52"/>
      <c r="I1809" s="52"/>
      <c r="J1809" s="52"/>
      <c r="K1809" s="52"/>
      <c r="L1809" s="60">
        <f>SUM(L1810:L1811)</f>
        <v>4</v>
      </c>
      <c r="M1809" s="60">
        <f>SUM(M1810:M1811)</f>
        <v>4</v>
      </c>
      <c r="N1809" s="60">
        <f>SUM(N1810:N1811)</f>
        <v>4</v>
      </c>
      <c r="O1809" s="60">
        <f>SUM(O1810:O1811)</f>
        <v>4</v>
      </c>
      <c r="P1809" s="60">
        <f>SUM(P1810:P1811)</f>
        <v>4</v>
      </c>
      <c r="T1809" s="47"/>
      <c r="U1809" s="47"/>
      <c r="V1809" s="47"/>
      <c r="W1809" s="47"/>
      <c r="X1809" s="47"/>
      <c r="Y1809" s="47"/>
      <c r="Z1809" s="47"/>
      <c r="AA1809" s="47"/>
      <c r="AB1809" s="47"/>
      <c r="AC1809" s="47"/>
      <c r="AD1809" s="47"/>
      <c r="AE1809" s="47"/>
      <c r="AF1809" s="47"/>
      <c r="AG1809" s="47"/>
      <c r="AH1809" s="47"/>
      <c r="AI1809" s="47"/>
      <c r="AJ1809" s="47"/>
      <c r="AK1809" s="47"/>
      <c r="AL1809" s="47"/>
      <c r="AM1809" s="47"/>
      <c r="AN1809" s="47"/>
      <c r="AO1809" s="47"/>
      <c r="AP1809" s="47"/>
      <c r="AQ1809" s="47"/>
      <c r="AR1809" s="47"/>
      <c r="AS1809" s="47"/>
      <c r="AT1809" s="47"/>
      <c r="AU1809" s="47"/>
      <c r="AV1809" s="47"/>
    </row>
    <row r="1810" spans="1:48" s="27" customFormat="1" ht="18.75" customHeight="1">
      <c r="A1810" s="12"/>
      <c r="B1810" s="97" t="s">
        <v>561</v>
      </c>
      <c r="C1810" s="66" t="s">
        <v>804</v>
      </c>
      <c r="D1810" s="51"/>
      <c r="E1810" s="51"/>
      <c r="F1810" s="51"/>
      <c r="G1810" s="51">
        <v>1</v>
      </c>
      <c r="H1810" s="51">
        <v>1</v>
      </c>
      <c r="I1810" s="51">
        <v>1</v>
      </c>
      <c r="J1810" s="51"/>
      <c r="K1810" s="51">
        <v>1</v>
      </c>
      <c r="L1810" s="40">
        <v>1</v>
      </c>
      <c r="M1810" s="40">
        <v>1</v>
      </c>
      <c r="N1810" s="40">
        <v>1</v>
      </c>
      <c r="O1810" s="40">
        <v>1</v>
      </c>
      <c r="P1810" s="40">
        <v>1</v>
      </c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</row>
    <row r="1811" spans="1:48" s="27" customFormat="1" ht="30.75" customHeight="1">
      <c r="A1811" s="12"/>
      <c r="B1811" s="97" t="s">
        <v>280</v>
      </c>
      <c r="C1811" s="66" t="s">
        <v>281</v>
      </c>
      <c r="D1811" s="51"/>
      <c r="E1811" s="51"/>
      <c r="F1811" s="51"/>
      <c r="G1811" s="51">
        <v>4</v>
      </c>
      <c r="H1811" s="51">
        <v>4</v>
      </c>
      <c r="I1811" s="51">
        <v>4</v>
      </c>
      <c r="J1811" s="51"/>
      <c r="K1811" s="51">
        <v>4</v>
      </c>
      <c r="L1811" s="40">
        <v>3</v>
      </c>
      <c r="M1811" s="40">
        <v>3</v>
      </c>
      <c r="N1811" s="40">
        <v>3</v>
      </c>
      <c r="O1811" s="40">
        <v>3</v>
      </c>
      <c r="P1811" s="40">
        <v>3</v>
      </c>
      <c r="Q1811" s="33" t="s">
        <v>556</v>
      </c>
      <c r="R1811" s="28" t="s">
        <v>556</v>
      </c>
      <c r="S1811" s="28" t="s">
        <v>556</v>
      </c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</row>
    <row r="1812" spans="1:188" s="57" customFormat="1" ht="20.25" customHeight="1">
      <c r="A1812" s="13">
        <v>10</v>
      </c>
      <c r="B1812" s="92" t="s">
        <v>973</v>
      </c>
      <c r="C1812" s="45"/>
      <c r="D1812" s="44">
        <v>337</v>
      </c>
      <c r="E1812" s="44">
        <v>130</v>
      </c>
      <c r="F1812" s="44">
        <v>88</v>
      </c>
      <c r="G1812" s="44">
        <v>88</v>
      </c>
      <c r="H1812" s="44">
        <v>88</v>
      </c>
      <c r="I1812" s="44">
        <v>88</v>
      </c>
      <c r="J1812" s="44"/>
      <c r="K1812" s="44">
        <v>88</v>
      </c>
      <c r="L1812" s="44">
        <f>SUM(L1813,L1821)</f>
        <v>35</v>
      </c>
      <c r="M1812" s="44">
        <f>SUM(M1813,M1821)</f>
        <v>36</v>
      </c>
      <c r="N1812" s="44">
        <f>SUM(N1813,N1821)</f>
        <v>38</v>
      </c>
      <c r="O1812" s="44">
        <f>SUM(O1813,O1821)</f>
        <v>34</v>
      </c>
      <c r="P1812" s="44">
        <f>SUM(P1813,P1821)</f>
        <v>29</v>
      </c>
      <c r="Q1812" s="54" t="s">
        <v>648</v>
      </c>
      <c r="R1812" s="54">
        <v>1</v>
      </c>
      <c r="S1812" s="55" t="s">
        <v>551</v>
      </c>
      <c r="T1812" s="56"/>
      <c r="U1812" s="56"/>
      <c r="V1812" s="56"/>
      <c r="W1812" s="56"/>
      <c r="X1812" s="56"/>
      <c r="Y1812" s="56"/>
      <c r="Z1812" s="56"/>
      <c r="AA1812" s="56"/>
      <c r="AB1812" s="56"/>
      <c r="AC1812" s="56"/>
      <c r="AD1812" s="56"/>
      <c r="AE1812" s="56"/>
      <c r="AF1812" s="56"/>
      <c r="AG1812" s="56"/>
      <c r="AH1812" s="56"/>
      <c r="AI1812" s="56"/>
      <c r="AJ1812" s="56"/>
      <c r="AK1812" s="56"/>
      <c r="AL1812" s="56"/>
      <c r="AM1812" s="56"/>
      <c r="AN1812" s="56"/>
      <c r="AO1812" s="56"/>
      <c r="AP1812" s="56"/>
      <c r="AQ1812" s="56"/>
      <c r="AR1812" s="56"/>
      <c r="AS1812" s="56"/>
      <c r="AT1812" s="56"/>
      <c r="AU1812" s="56"/>
      <c r="AV1812" s="56"/>
      <c r="AW1812" s="56"/>
      <c r="AX1812" s="56"/>
      <c r="AY1812" s="56"/>
      <c r="AZ1812" s="56"/>
      <c r="BA1812" s="56"/>
      <c r="BB1812" s="56"/>
      <c r="BC1812" s="56"/>
      <c r="BD1812" s="56"/>
      <c r="BE1812" s="56"/>
      <c r="BF1812" s="56"/>
      <c r="BG1812" s="56"/>
      <c r="BH1812" s="56"/>
      <c r="BI1812" s="56"/>
      <c r="BJ1812" s="56"/>
      <c r="BK1812" s="56"/>
      <c r="BL1812" s="56"/>
      <c r="BM1812" s="56"/>
      <c r="BN1812" s="56"/>
      <c r="BO1812" s="56"/>
      <c r="BP1812" s="56"/>
      <c r="BQ1812" s="56"/>
      <c r="BR1812" s="56"/>
      <c r="BS1812" s="56"/>
      <c r="BT1812" s="56"/>
      <c r="BU1812" s="56"/>
      <c r="BV1812" s="56"/>
      <c r="BW1812" s="56"/>
      <c r="BX1812" s="56"/>
      <c r="BY1812" s="56"/>
      <c r="BZ1812" s="56"/>
      <c r="CA1812" s="56"/>
      <c r="CB1812" s="56"/>
      <c r="CC1812" s="56"/>
      <c r="CD1812" s="56"/>
      <c r="CE1812" s="56"/>
      <c r="CF1812" s="56"/>
      <c r="CG1812" s="56"/>
      <c r="CH1812" s="56"/>
      <c r="CI1812" s="56"/>
      <c r="CJ1812" s="56"/>
      <c r="CK1812" s="56"/>
      <c r="CL1812" s="56"/>
      <c r="CM1812" s="56"/>
      <c r="CN1812" s="56"/>
      <c r="CO1812" s="56"/>
      <c r="CP1812" s="56"/>
      <c r="CQ1812" s="56"/>
      <c r="CR1812" s="56"/>
      <c r="CS1812" s="56"/>
      <c r="CT1812" s="56"/>
      <c r="CU1812" s="56"/>
      <c r="CV1812" s="56"/>
      <c r="CW1812" s="56"/>
      <c r="CX1812" s="56"/>
      <c r="CY1812" s="56"/>
      <c r="CZ1812" s="56"/>
      <c r="DA1812" s="56"/>
      <c r="DB1812" s="56"/>
      <c r="DC1812" s="56"/>
      <c r="DD1812" s="56"/>
      <c r="DE1812" s="56"/>
      <c r="DF1812" s="56"/>
      <c r="DG1812" s="56"/>
      <c r="DH1812" s="56"/>
      <c r="DI1812" s="56"/>
      <c r="DJ1812" s="56"/>
      <c r="DK1812" s="56"/>
      <c r="DL1812" s="56"/>
      <c r="DM1812" s="56"/>
      <c r="DN1812" s="56"/>
      <c r="DO1812" s="56"/>
      <c r="DP1812" s="56"/>
      <c r="DQ1812" s="56"/>
      <c r="DR1812" s="56"/>
      <c r="DS1812" s="56"/>
      <c r="DT1812" s="56"/>
      <c r="DU1812" s="56"/>
      <c r="DV1812" s="56"/>
      <c r="DW1812" s="56"/>
      <c r="DX1812" s="56"/>
      <c r="DY1812" s="56"/>
      <c r="DZ1812" s="56"/>
      <c r="EA1812" s="56"/>
      <c r="EB1812" s="56"/>
      <c r="EC1812" s="56"/>
      <c r="ED1812" s="56"/>
      <c r="EE1812" s="56"/>
      <c r="EF1812" s="56"/>
      <c r="EG1812" s="56"/>
      <c r="EH1812" s="56"/>
      <c r="EI1812" s="56"/>
      <c r="EJ1812" s="56"/>
      <c r="EK1812" s="56"/>
      <c r="EL1812" s="56"/>
      <c r="EM1812" s="56"/>
      <c r="EN1812" s="56"/>
      <c r="EO1812" s="56"/>
      <c r="EP1812" s="56"/>
      <c r="EQ1812" s="56"/>
      <c r="ER1812" s="56"/>
      <c r="ES1812" s="56"/>
      <c r="ET1812" s="56"/>
      <c r="EU1812" s="56"/>
      <c r="EV1812" s="56"/>
      <c r="EW1812" s="56"/>
      <c r="EX1812" s="56"/>
      <c r="EY1812" s="56"/>
      <c r="EZ1812" s="56"/>
      <c r="FA1812" s="56"/>
      <c r="FB1812" s="56"/>
      <c r="FC1812" s="56"/>
      <c r="FD1812" s="56"/>
      <c r="FE1812" s="56"/>
      <c r="FF1812" s="56"/>
      <c r="FG1812" s="56"/>
      <c r="FH1812" s="56"/>
      <c r="FI1812" s="56"/>
      <c r="FJ1812" s="56"/>
      <c r="FK1812" s="56"/>
      <c r="FL1812" s="56"/>
      <c r="FM1812" s="56"/>
      <c r="FN1812" s="56"/>
      <c r="FO1812" s="56"/>
      <c r="FP1812" s="56"/>
      <c r="FQ1812" s="56"/>
      <c r="FR1812" s="56"/>
      <c r="FS1812" s="56"/>
      <c r="FT1812" s="56"/>
      <c r="FU1812" s="56"/>
      <c r="FV1812" s="56"/>
      <c r="FW1812" s="56"/>
      <c r="FX1812" s="56"/>
      <c r="FY1812" s="56"/>
      <c r="FZ1812" s="56"/>
      <c r="GA1812" s="56"/>
      <c r="GB1812" s="56"/>
      <c r="GC1812" s="56"/>
      <c r="GD1812" s="56"/>
      <c r="GE1812" s="56"/>
      <c r="GF1812" s="56"/>
    </row>
    <row r="1813" spans="1:48" s="18" customFormat="1" ht="17.25" customHeight="1">
      <c r="A1813" s="50"/>
      <c r="B1813" s="93" t="s">
        <v>669</v>
      </c>
      <c r="C1813" s="16"/>
      <c r="D1813" s="52"/>
      <c r="E1813" s="52"/>
      <c r="F1813" s="52"/>
      <c r="G1813" s="52"/>
      <c r="H1813" s="52"/>
      <c r="I1813" s="52"/>
      <c r="J1813" s="52"/>
      <c r="K1813" s="52"/>
      <c r="L1813" s="60">
        <f>SUM(L1814:L1820)</f>
        <v>33</v>
      </c>
      <c r="M1813" s="60">
        <f>SUM(M1814:M1820)</f>
        <v>33</v>
      </c>
      <c r="N1813" s="60">
        <f>SUM(N1814:N1820)</f>
        <v>33</v>
      </c>
      <c r="O1813" s="60">
        <f>SUM(O1814:O1820)</f>
        <v>31</v>
      </c>
      <c r="P1813" s="60">
        <f>SUM(P1814:P1820)</f>
        <v>28</v>
      </c>
      <c r="Q1813" s="23"/>
      <c r="R1813" s="23"/>
      <c r="S1813" s="17"/>
      <c r="T1813" s="47"/>
      <c r="U1813" s="47"/>
      <c r="V1813" s="47"/>
      <c r="W1813" s="47"/>
      <c r="X1813" s="47"/>
      <c r="Y1813" s="47"/>
      <c r="Z1813" s="47"/>
      <c r="AA1813" s="47"/>
      <c r="AB1813" s="47"/>
      <c r="AC1813" s="47"/>
      <c r="AD1813" s="47"/>
      <c r="AE1813" s="47"/>
      <c r="AF1813" s="47"/>
      <c r="AG1813" s="47"/>
      <c r="AH1813" s="47"/>
      <c r="AI1813" s="47"/>
      <c r="AJ1813" s="47"/>
      <c r="AK1813" s="47"/>
      <c r="AL1813" s="47"/>
      <c r="AM1813" s="47"/>
      <c r="AN1813" s="47"/>
      <c r="AO1813" s="47"/>
      <c r="AP1813" s="47"/>
      <c r="AQ1813" s="47"/>
      <c r="AR1813" s="47"/>
      <c r="AS1813" s="47"/>
      <c r="AT1813" s="47"/>
      <c r="AU1813" s="47"/>
      <c r="AV1813" s="47"/>
    </row>
    <row r="1814" spans="1:48" s="27" customFormat="1" ht="18" customHeight="1">
      <c r="A1814" s="12"/>
      <c r="B1814" s="97" t="s">
        <v>560</v>
      </c>
      <c r="C1814" s="29" t="s">
        <v>1319</v>
      </c>
      <c r="D1814" s="51"/>
      <c r="E1814" s="51"/>
      <c r="F1814" s="51">
        <v>11</v>
      </c>
      <c r="G1814" s="51">
        <v>11</v>
      </c>
      <c r="H1814" s="51">
        <v>11</v>
      </c>
      <c r="I1814" s="51">
        <v>11</v>
      </c>
      <c r="J1814" s="51"/>
      <c r="K1814" s="51">
        <v>11</v>
      </c>
      <c r="L1814" s="40">
        <v>16</v>
      </c>
      <c r="M1814" s="40">
        <v>16</v>
      </c>
      <c r="N1814" s="40">
        <v>16</v>
      </c>
      <c r="O1814" s="40">
        <v>16</v>
      </c>
      <c r="P1814" s="40">
        <v>16</v>
      </c>
      <c r="Q1814" s="33" t="s">
        <v>556</v>
      </c>
      <c r="R1814" s="28" t="s">
        <v>556</v>
      </c>
      <c r="S1814" s="28" t="s">
        <v>556</v>
      </c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</row>
    <row r="1815" spans="1:48" s="27" customFormat="1" ht="18" customHeight="1">
      <c r="A1815" s="12"/>
      <c r="B1815" s="106" t="s">
        <v>1018</v>
      </c>
      <c r="C1815" s="66" t="s">
        <v>1019</v>
      </c>
      <c r="D1815" s="51"/>
      <c r="E1815" s="51"/>
      <c r="F1815" s="51"/>
      <c r="G1815" s="51"/>
      <c r="H1815" s="51"/>
      <c r="I1815" s="51"/>
      <c r="J1815" s="51"/>
      <c r="K1815" s="51"/>
      <c r="L1815" s="40" t="s">
        <v>556</v>
      </c>
      <c r="M1815" s="40" t="s">
        <v>556</v>
      </c>
      <c r="N1815" s="40">
        <v>1</v>
      </c>
      <c r="O1815" s="40" t="s">
        <v>556</v>
      </c>
      <c r="P1815" s="40" t="s">
        <v>556</v>
      </c>
      <c r="Q1815" s="39"/>
      <c r="R1815" s="39"/>
      <c r="S1815" s="39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</row>
    <row r="1816" spans="1:48" s="27" customFormat="1" ht="18" customHeight="1">
      <c r="A1816" s="12"/>
      <c r="B1816" s="97" t="s">
        <v>1038</v>
      </c>
      <c r="C1816" s="29" t="s">
        <v>1039</v>
      </c>
      <c r="D1816" s="51"/>
      <c r="E1816" s="51"/>
      <c r="F1816" s="51"/>
      <c r="G1816" s="51"/>
      <c r="H1816" s="51"/>
      <c r="I1816" s="51"/>
      <c r="J1816" s="51"/>
      <c r="K1816" s="51"/>
      <c r="L1816" s="40">
        <v>1</v>
      </c>
      <c r="M1816" s="40">
        <v>1</v>
      </c>
      <c r="N1816" s="40">
        <v>1</v>
      </c>
      <c r="O1816" s="40">
        <v>1</v>
      </c>
      <c r="P1816" s="40" t="s">
        <v>556</v>
      </c>
      <c r="Q1816" s="39"/>
      <c r="R1816" s="39"/>
      <c r="S1816" s="39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</row>
    <row r="1817" spans="1:48" s="27" customFormat="1" ht="18" customHeight="1">
      <c r="A1817" s="12"/>
      <c r="B1817" s="97" t="s">
        <v>1051</v>
      </c>
      <c r="C1817" s="29" t="s">
        <v>1052</v>
      </c>
      <c r="D1817" s="51"/>
      <c r="E1817" s="51"/>
      <c r="F1817" s="51"/>
      <c r="G1817" s="51"/>
      <c r="H1817" s="51"/>
      <c r="I1817" s="51"/>
      <c r="J1817" s="51"/>
      <c r="K1817" s="51"/>
      <c r="L1817" s="40">
        <v>14</v>
      </c>
      <c r="M1817" s="40">
        <v>14</v>
      </c>
      <c r="N1817" s="40">
        <v>14</v>
      </c>
      <c r="O1817" s="40">
        <v>14</v>
      </c>
      <c r="P1817" s="40">
        <v>12</v>
      </c>
      <c r="Q1817" s="39"/>
      <c r="R1817" s="39"/>
      <c r="S1817" s="39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</row>
    <row r="1818" spans="1:48" s="27" customFormat="1" ht="18" customHeight="1">
      <c r="A1818" s="12"/>
      <c r="B1818" s="97" t="s">
        <v>1316</v>
      </c>
      <c r="C1818" s="29" t="s">
        <v>1317</v>
      </c>
      <c r="D1818" s="51"/>
      <c r="E1818" s="51"/>
      <c r="F1818" s="51"/>
      <c r="G1818" s="51"/>
      <c r="H1818" s="51"/>
      <c r="I1818" s="51"/>
      <c r="J1818" s="51"/>
      <c r="K1818" s="51"/>
      <c r="L1818" s="40" t="s">
        <v>556</v>
      </c>
      <c r="M1818" s="40">
        <v>1</v>
      </c>
      <c r="N1818" s="40" t="s">
        <v>556</v>
      </c>
      <c r="O1818" s="40" t="s">
        <v>556</v>
      </c>
      <c r="P1818" s="40" t="s">
        <v>556</v>
      </c>
      <c r="Q1818" s="39"/>
      <c r="R1818" s="39"/>
      <c r="S1818" s="39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</row>
    <row r="1819" spans="1:48" s="27" customFormat="1" ht="18" customHeight="1">
      <c r="A1819" s="12"/>
      <c r="B1819" s="105" t="s">
        <v>786</v>
      </c>
      <c r="C1819" s="15" t="s">
        <v>1296</v>
      </c>
      <c r="D1819" s="51"/>
      <c r="E1819" s="51"/>
      <c r="F1819" s="51"/>
      <c r="G1819" s="51"/>
      <c r="H1819" s="51"/>
      <c r="I1819" s="51"/>
      <c r="J1819" s="51"/>
      <c r="K1819" s="51"/>
      <c r="L1819" s="40">
        <v>1</v>
      </c>
      <c r="M1819" s="40" t="s">
        <v>556</v>
      </c>
      <c r="N1819" s="40" t="s">
        <v>556</v>
      </c>
      <c r="O1819" s="40" t="s">
        <v>556</v>
      </c>
      <c r="P1819" s="40" t="s">
        <v>556</v>
      </c>
      <c r="Q1819" s="39"/>
      <c r="R1819" s="39"/>
      <c r="S1819" s="39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</row>
    <row r="1820" spans="1:48" s="27" customFormat="1" ht="18" customHeight="1">
      <c r="A1820" s="12"/>
      <c r="B1820" s="97" t="s">
        <v>562</v>
      </c>
      <c r="C1820" s="29" t="s">
        <v>563</v>
      </c>
      <c r="D1820" s="51"/>
      <c r="E1820" s="51"/>
      <c r="F1820" s="51"/>
      <c r="G1820" s="51"/>
      <c r="H1820" s="51"/>
      <c r="I1820" s="51"/>
      <c r="J1820" s="51"/>
      <c r="K1820" s="51"/>
      <c r="L1820" s="40">
        <v>1</v>
      </c>
      <c r="M1820" s="40">
        <v>1</v>
      </c>
      <c r="N1820" s="40">
        <v>1</v>
      </c>
      <c r="O1820" s="40" t="s">
        <v>556</v>
      </c>
      <c r="P1820" s="40" t="s">
        <v>556</v>
      </c>
      <c r="Q1820" s="39"/>
      <c r="R1820" s="39"/>
      <c r="S1820" s="39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</row>
    <row r="1821" spans="1:48" s="18" customFormat="1" ht="18" customHeight="1">
      <c r="A1821" s="50"/>
      <c r="B1821" s="93" t="s">
        <v>37</v>
      </c>
      <c r="C1821" s="16"/>
      <c r="D1821" s="52"/>
      <c r="E1821" s="51"/>
      <c r="F1821" s="52"/>
      <c r="G1821" s="52"/>
      <c r="H1821" s="52"/>
      <c r="I1821" s="52"/>
      <c r="J1821" s="52"/>
      <c r="K1821" s="52"/>
      <c r="L1821" s="60">
        <f aca="true" t="shared" si="64" ref="L1821:S1821">SUM(L1822:L1825)</f>
        <v>2</v>
      </c>
      <c r="M1821" s="60">
        <f t="shared" si="64"/>
        <v>3</v>
      </c>
      <c r="N1821" s="60">
        <f t="shared" si="64"/>
        <v>5</v>
      </c>
      <c r="O1821" s="60">
        <f t="shared" si="64"/>
        <v>3</v>
      </c>
      <c r="P1821" s="60">
        <f t="shared" si="64"/>
        <v>1</v>
      </c>
      <c r="Q1821" s="238">
        <f t="shared" si="64"/>
        <v>0</v>
      </c>
      <c r="R1821" s="52">
        <f t="shared" si="64"/>
        <v>0</v>
      </c>
      <c r="S1821" s="52">
        <f t="shared" si="64"/>
        <v>0</v>
      </c>
      <c r="T1821" s="47"/>
      <c r="U1821" s="47"/>
      <c r="V1821" s="47"/>
      <c r="W1821" s="47"/>
      <c r="X1821" s="47"/>
      <c r="Y1821" s="47"/>
      <c r="Z1821" s="47"/>
      <c r="AA1821" s="47"/>
      <c r="AB1821" s="47"/>
      <c r="AC1821" s="47"/>
      <c r="AD1821" s="47"/>
      <c r="AE1821" s="47"/>
      <c r="AF1821" s="47"/>
      <c r="AG1821" s="47"/>
      <c r="AH1821" s="47"/>
      <c r="AI1821" s="47"/>
      <c r="AJ1821" s="47"/>
      <c r="AK1821" s="47"/>
      <c r="AL1821" s="47"/>
      <c r="AM1821" s="47"/>
      <c r="AN1821" s="47"/>
      <c r="AO1821" s="47"/>
      <c r="AP1821" s="47"/>
      <c r="AQ1821" s="47"/>
      <c r="AR1821" s="47"/>
      <c r="AS1821" s="47"/>
      <c r="AT1821" s="47"/>
      <c r="AU1821" s="47"/>
      <c r="AV1821" s="47"/>
    </row>
    <row r="1822" spans="1:48" s="27" customFormat="1" ht="18.75" customHeight="1">
      <c r="A1822" s="12"/>
      <c r="B1822" s="106" t="s">
        <v>1045</v>
      </c>
      <c r="C1822" s="66" t="s">
        <v>1046</v>
      </c>
      <c r="D1822" s="51"/>
      <c r="E1822" s="51"/>
      <c r="F1822" s="51"/>
      <c r="G1822" s="51"/>
      <c r="H1822" s="51"/>
      <c r="I1822" s="51"/>
      <c r="J1822" s="51"/>
      <c r="K1822" s="51"/>
      <c r="L1822" s="40" t="s">
        <v>556</v>
      </c>
      <c r="M1822" s="40" t="s">
        <v>556</v>
      </c>
      <c r="N1822" s="40">
        <v>1</v>
      </c>
      <c r="O1822" s="40">
        <v>1</v>
      </c>
      <c r="P1822" s="40">
        <v>1</v>
      </c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</row>
    <row r="1823" spans="1:48" s="27" customFormat="1" ht="18.75" customHeight="1">
      <c r="A1823" s="12"/>
      <c r="B1823" s="97" t="s">
        <v>95</v>
      </c>
      <c r="C1823" s="15" t="s">
        <v>96</v>
      </c>
      <c r="D1823" s="51"/>
      <c r="E1823" s="51"/>
      <c r="F1823" s="51"/>
      <c r="G1823" s="51"/>
      <c r="H1823" s="51"/>
      <c r="I1823" s="51"/>
      <c r="J1823" s="51"/>
      <c r="K1823" s="51"/>
      <c r="L1823" s="40">
        <v>1</v>
      </c>
      <c r="M1823" s="40" t="s">
        <v>556</v>
      </c>
      <c r="N1823" s="40" t="s">
        <v>556</v>
      </c>
      <c r="O1823" s="40" t="s">
        <v>556</v>
      </c>
      <c r="P1823" s="40" t="s">
        <v>556</v>
      </c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</row>
    <row r="1824" spans="1:48" s="27" customFormat="1" ht="18.75" customHeight="1">
      <c r="A1824" s="12"/>
      <c r="B1824" s="97" t="s">
        <v>38</v>
      </c>
      <c r="C1824" s="66" t="s">
        <v>457</v>
      </c>
      <c r="D1824" s="51"/>
      <c r="E1824" s="51"/>
      <c r="F1824" s="51"/>
      <c r="G1824" s="51"/>
      <c r="H1824" s="51"/>
      <c r="I1824" s="51"/>
      <c r="J1824" s="51"/>
      <c r="K1824" s="51"/>
      <c r="L1824" s="40" t="s">
        <v>556</v>
      </c>
      <c r="M1824" s="40">
        <v>1</v>
      </c>
      <c r="N1824" s="40">
        <v>1</v>
      </c>
      <c r="O1824" s="40">
        <v>1</v>
      </c>
      <c r="P1824" s="40" t="s">
        <v>556</v>
      </c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</row>
    <row r="1825" spans="1:48" s="27" customFormat="1" ht="18.75" customHeight="1">
      <c r="A1825" s="12"/>
      <c r="B1825" s="105" t="s">
        <v>934</v>
      </c>
      <c r="C1825" s="15" t="s">
        <v>935</v>
      </c>
      <c r="D1825" s="51"/>
      <c r="E1825" s="51"/>
      <c r="F1825" s="51"/>
      <c r="G1825" s="51"/>
      <c r="H1825" s="51"/>
      <c r="I1825" s="51"/>
      <c r="J1825" s="51"/>
      <c r="K1825" s="51"/>
      <c r="L1825" s="40">
        <v>1</v>
      </c>
      <c r="M1825" s="40">
        <v>2</v>
      </c>
      <c r="N1825" s="40">
        <v>3</v>
      </c>
      <c r="O1825" s="40">
        <v>1</v>
      </c>
      <c r="P1825" s="40" t="s">
        <v>556</v>
      </c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</row>
    <row r="1826" spans="1:188" s="57" customFormat="1" ht="20.25" customHeight="1">
      <c r="A1826" s="13">
        <v>11</v>
      </c>
      <c r="B1826" s="92" t="s">
        <v>279</v>
      </c>
      <c r="C1826" s="45"/>
      <c r="D1826" s="44"/>
      <c r="E1826" s="44"/>
      <c r="F1826" s="44">
        <v>88</v>
      </c>
      <c r="G1826" s="44">
        <v>88</v>
      </c>
      <c r="H1826" s="44">
        <v>88</v>
      </c>
      <c r="I1826" s="44">
        <v>88</v>
      </c>
      <c r="J1826" s="44"/>
      <c r="K1826" s="44">
        <v>88</v>
      </c>
      <c r="L1826" s="44">
        <f>L1827</f>
        <v>9</v>
      </c>
      <c r="M1826" s="44">
        <f>M1827</f>
        <v>9</v>
      </c>
      <c r="N1826" s="44">
        <f>N1827</f>
        <v>9</v>
      </c>
      <c r="O1826" s="44">
        <f>O1827</f>
        <v>9</v>
      </c>
      <c r="P1826" s="44">
        <f>P1827</f>
        <v>9</v>
      </c>
      <c r="Q1826" s="54" t="s">
        <v>648</v>
      </c>
      <c r="R1826" s="54">
        <v>1</v>
      </c>
      <c r="S1826" s="55" t="s">
        <v>551</v>
      </c>
      <c r="T1826" s="56"/>
      <c r="U1826" s="56"/>
      <c r="V1826" s="56"/>
      <c r="W1826" s="56"/>
      <c r="X1826" s="56"/>
      <c r="Y1826" s="56"/>
      <c r="Z1826" s="56"/>
      <c r="AA1826" s="56"/>
      <c r="AB1826" s="56"/>
      <c r="AC1826" s="56"/>
      <c r="AD1826" s="56"/>
      <c r="AE1826" s="56"/>
      <c r="AF1826" s="56"/>
      <c r="AG1826" s="56"/>
      <c r="AH1826" s="56"/>
      <c r="AI1826" s="56"/>
      <c r="AJ1826" s="56"/>
      <c r="AK1826" s="56"/>
      <c r="AL1826" s="56"/>
      <c r="AM1826" s="56"/>
      <c r="AN1826" s="56"/>
      <c r="AO1826" s="56"/>
      <c r="AP1826" s="56"/>
      <c r="AQ1826" s="56"/>
      <c r="AR1826" s="56"/>
      <c r="AS1826" s="56"/>
      <c r="AT1826" s="56"/>
      <c r="AU1826" s="56"/>
      <c r="AV1826" s="56"/>
      <c r="AW1826" s="56"/>
      <c r="AX1826" s="56"/>
      <c r="AY1826" s="56"/>
      <c r="AZ1826" s="56"/>
      <c r="BA1826" s="56"/>
      <c r="BB1826" s="56"/>
      <c r="BC1826" s="56"/>
      <c r="BD1826" s="56"/>
      <c r="BE1826" s="56"/>
      <c r="BF1826" s="56"/>
      <c r="BG1826" s="56"/>
      <c r="BH1826" s="56"/>
      <c r="BI1826" s="56"/>
      <c r="BJ1826" s="56"/>
      <c r="BK1826" s="56"/>
      <c r="BL1826" s="56"/>
      <c r="BM1826" s="56"/>
      <c r="BN1826" s="56"/>
      <c r="BO1826" s="56"/>
      <c r="BP1826" s="56"/>
      <c r="BQ1826" s="56"/>
      <c r="BR1826" s="56"/>
      <c r="BS1826" s="56"/>
      <c r="BT1826" s="56"/>
      <c r="BU1826" s="56"/>
      <c r="BV1826" s="56"/>
      <c r="BW1826" s="56"/>
      <c r="BX1826" s="56"/>
      <c r="BY1826" s="56"/>
      <c r="BZ1826" s="56"/>
      <c r="CA1826" s="56"/>
      <c r="CB1826" s="56"/>
      <c r="CC1826" s="56"/>
      <c r="CD1826" s="56"/>
      <c r="CE1826" s="56"/>
      <c r="CF1826" s="56"/>
      <c r="CG1826" s="56"/>
      <c r="CH1826" s="56"/>
      <c r="CI1826" s="56"/>
      <c r="CJ1826" s="56"/>
      <c r="CK1826" s="56"/>
      <c r="CL1826" s="56"/>
      <c r="CM1826" s="56"/>
      <c r="CN1826" s="56"/>
      <c r="CO1826" s="56"/>
      <c r="CP1826" s="56"/>
      <c r="CQ1826" s="56"/>
      <c r="CR1826" s="56"/>
      <c r="CS1826" s="56"/>
      <c r="CT1826" s="56"/>
      <c r="CU1826" s="56"/>
      <c r="CV1826" s="56"/>
      <c r="CW1826" s="56"/>
      <c r="CX1826" s="56"/>
      <c r="CY1826" s="56"/>
      <c r="CZ1826" s="56"/>
      <c r="DA1826" s="56"/>
      <c r="DB1826" s="56"/>
      <c r="DC1826" s="56"/>
      <c r="DD1826" s="56"/>
      <c r="DE1826" s="56"/>
      <c r="DF1826" s="56"/>
      <c r="DG1826" s="56"/>
      <c r="DH1826" s="56"/>
      <c r="DI1826" s="56"/>
      <c r="DJ1826" s="56"/>
      <c r="DK1826" s="56"/>
      <c r="DL1826" s="56"/>
      <c r="DM1826" s="56"/>
      <c r="DN1826" s="56"/>
      <c r="DO1826" s="56"/>
      <c r="DP1826" s="56"/>
      <c r="DQ1826" s="56"/>
      <c r="DR1826" s="56"/>
      <c r="DS1826" s="56"/>
      <c r="DT1826" s="56"/>
      <c r="DU1826" s="56"/>
      <c r="DV1826" s="56"/>
      <c r="DW1826" s="56"/>
      <c r="DX1826" s="56"/>
      <c r="DY1826" s="56"/>
      <c r="DZ1826" s="56"/>
      <c r="EA1826" s="56"/>
      <c r="EB1826" s="56"/>
      <c r="EC1826" s="56"/>
      <c r="ED1826" s="56"/>
      <c r="EE1826" s="56"/>
      <c r="EF1826" s="56"/>
      <c r="EG1826" s="56"/>
      <c r="EH1826" s="56"/>
      <c r="EI1826" s="56"/>
      <c r="EJ1826" s="56"/>
      <c r="EK1826" s="56"/>
      <c r="EL1826" s="56"/>
      <c r="EM1826" s="56"/>
      <c r="EN1826" s="56"/>
      <c r="EO1826" s="56"/>
      <c r="EP1826" s="56"/>
      <c r="EQ1826" s="56"/>
      <c r="ER1826" s="56"/>
      <c r="ES1826" s="56"/>
      <c r="ET1826" s="56"/>
      <c r="EU1826" s="56"/>
      <c r="EV1826" s="56"/>
      <c r="EW1826" s="56"/>
      <c r="EX1826" s="56"/>
      <c r="EY1826" s="56"/>
      <c r="EZ1826" s="56"/>
      <c r="FA1826" s="56"/>
      <c r="FB1826" s="56"/>
      <c r="FC1826" s="56"/>
      <c r="FD1826" s="56"/>
      <c r="FE1826" s="56"/>
      <c r="FF1826" s="56"/>
      <c r="FG1826" s="56"/>
      <c r="FH1826" s="56"/>
      <c r="FI1826" s="56"/>
      <c r="FJ1826" s="56"/>
      <c r="FK1826" s="56"/>
      <c r="FL1826" s="56"/>
      <c r="FM1826" s="56"/>
      <c r="FN1826" s="56"/>
      <c r="FO1826" s="56"/>
      <c r="FP1826" s="56"/>
      <c r="FQ1826" s="56"/>
      <c r="FR1826" s="56"/>
      <c r="FS1826" s="56"/>
      <c r="FT1826" s="56"/>
      <c r="FU1826" s="56"/>
      <c r="FV1826" s="56"/>
      <c r="FW1826" s="56"/>
      <c r="FX1826" s="56"/>
      <c r="FY1826" s="56"/>
      <c r="FZ1826" s="56"/>
      <c r="GA1826" s="56"/>
      <c r="GB1826" s="56"/>
      <c r="GC1826" s="56"/>
      <c r="GD1826" s="56"/>
      <c r="GE1826" s="56"/>
      <c r="GF1826" s="56"/>
    </row>
    <row r="1827" spans="1:48" s="18" customFormat="1" ht="17.25" customHeight="1">
      <c r="A1827" s="50"/>
      <c r="B1827" s="93" t="s">
        <v>670</v>
      </c>
      <c r="C1827" s="16"/>
      <c r="D1827" s="52"/>
      <c r="E1827" s="52"/>
      <c r="F1827" s="52"/>
      <c r="G1827" s="52"/>
      <c r="H1827" s="52"/>
      <c r="I1827" s="52"/>
      <c r="J1827" s="52"/>
      <c r="K1827" s="52"/>
      <c r="L1827" s="60">
        <f>SUM(L1828:L1830)</f>
        <v>9</v>
      </c>
      <c r="M1827" s="60">
        <f aca="true" t="shared" si="65" ref="M1827:S1827">SUM(M1828:M1830)</f>
        <v>9</v>
      </c>
      <c r="N1827" s="60">
        <f t="shared" si="65"/>
        <v>9</v>
      </c>
      <c r="O1827" s="60">
        <f t="shared" si="65"/>
        <v>9</v>
      </c>
      <c r="P1827" s="60">
        <f t="shared" si="65"/>
        <v>9</v>
      </c>
      <c r="Q1827" s="256">
        <f t="shared" si="65"/>
        <v>0</v>
      </c>
      <c r="R1827" s="100">
        <f t="shared" si="65"/>
        <v>0</v>
      </c>
      <c r="S1827" s="100">
        <f t="shared" si="65"/>
        <v>0</v>
      </c>
      <c r="T1827" s="47"/>
      <c r="U1827" s="47"/>
      <c r="V1827" s="47"/>
      <c r="W1827" s="47"/>
      <c r="X1827" s="47"/>
      <c r="Y1827" s="47"/>
      <c r="Z1827" s="47"/>
      <c r="AA1827" s="47"/>
      <c r="AB1827" s="47"/>
      <c r="AC1827" s="47"/>
      <c r="AD1827" s="47"/>
      <c r="AE1827" s="47"/>
      <c r="AF1827" s="47"/>
      <c r="AG1827" s="47"/>
      <c r="AH1827" s="47"/>
      <c r="AI1827" s="47"/>
      <c r="AJ1827" s="47"/>
      <c r="AK1827" s="47"/>
      <c r="AL1827" s="47"/>
      <c r="AM1827" s="47"/>
      <c r="AN1827" s="47"/>
      <c r="AO1827" s="47"/>
      <c r="AP1827" s="47"/>
      <c r="AQ1827" s="47"/>
      <c r="AR1827" s="47"/>
      <c r="AS1827" s="47"/>
      <c r="AT1827" s="47"/>
      <c r="AU1827" s="47"/>
      <c r="AV1827" s="47"/>
    </row>
    <row r="1828" spans="1:48" s="27" customFormat="1" ht="18" customHeight="1">
      <c r="A1828" s="12"/>
      <c r="B1828" s="111" t="s">
        <v>422</v>
      </c>
      <c r="C1828" s="15" t="s">
        <v>423</v>
      </c>
      <c r="D1828" s="51"/>
      <c r="E1828" s="51"/>
      <c r="F1828" s="51">
        <v>11</v>
      </c>
      <c r="G1828" s="51">
        <v>11</v>
      </c>
      <c r="H1828" s="51">
        <v>11</v>
      </c>
      <c r="I1828" s="51">
        <v>11</v>
      </c>
      <c r="J1828" s="51"/>
      <c r="K1828" s="51">
        <v>11</v>
      </c>
      <c r="L1828" s="40">
        <v>6</v>
      </c>
      <c r="M1828" s="40">
        <v>6</v>
      </c>
      <c r="N1828" s="40">
        <v>6</v>
      </c>
      <c r="O1828" s="40">
        <v>6</v>
      </c>
      <c r="P1828" s="40">
        <v>6</v>
      </c>
      <c r="Q1828" s="33" t="s">
        <v>556</v>
      </c>
      <c r="R1828" s="28" t="s">
        <v>556</v>
      </c>
      <c r="S1828" s="28" t="s">
        <v>556</v>
      </c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</row>
    <row r="1829" spans="1:48" s="27" customFormat="1" ht="18" customHeight="1">
      <c r="A1829" s="12"/>
      <c r="B1829" s="97" t="s">
        <v>561</v>
      </c>
      <c r="C1829" s="66" t="s">
        <v>804</v>
      </c>
      <c r="D1829" s="51"/>
      <c r="E1829" s="51"/>
      <c r="F1829" s="51"/>
      <c r="G1829" s="51"/>
      <c r="H1829" s="51"/>
      <c r="I1829" s="51"/>
      <c r="J1829" s="51"/>
      <c r="K1829" s="51"/>
      <c r="L1829" s="40">
        <v>2</v>
      </c>
      <c r="M1829" s="40">
        <v>2</v>
      </c>
      <c r="N1829" s="40">
        <v>2</v>
      </c>
      <c r="O1829" s="40">
        <v>2</v>
      </c>
      <c r="P1829" s="40">
        <v>2</v>
      </c>
      <c r="Q1829" s="39"/>
      <c r="R1829" s="39"/>
      <c r="S1829" s="39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</row>
    <row r="1830" spans="1:48" s="27" customFormat="1" ht="18" customHeight="1">
      <c r="A1830" s="12"/>
      <c r="B1830" s="97" t="s">
        <v>273</v>
      </c>
      <c r="C1830" s="29" t="s">
        <v>274</v>
      </c>
      <c r="D1830" s="51"/>
      <c r="E1830" s="51"/>
      <c r="F1830" s="51"/>
      <c r="G1830" s="51"/>
      <c r="H1830" s="51"/>
      <c r="I1830" s="51"/>
      <c r="J1830" s="51"/>
      <c r="K1830" s="51"/>
      <c r="L1830" s="40">
        <v>1</v>
      </c>
      <c r="M1830" s="40">
        <v>1</v>
      </c>
      <c r="N1830" s="40">
        <v>1</v>
      </c>
      <c r="O1830" s="40">
        <v>1</v>
      </c>
      <c r="P1830" s="40">
        <v>1</v>
      </c>
      <c r="Q1830" s="39"/>
      <c r="R1830" s="39"/>
      <c r="S1830" s="39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</row>
    <row r="1831" spans="1:19" ht="13.5" customHeight="1">
      <c r="A1831" s="400" t="s">
        <v>909</v>
      </c>
      <c r="B1831" s="400"/>
      <c r="C1831" s="400"/>
      <c r="D1831" s="400"/>
      <c r="E1831" s="400"/>
      <c r="F1831" s="400"/>
      <c r="G1831" s="400"/>
      <c r="H1831" s="400"/>
      <c r="I1831" s="400"/>
      <c r="J1831" s="400"/>
      <c r="K1831" s="400"/>
      <c r="L1831" s="400"/>
      <c r="M1831" s="400"/>
      <c r="N1831" s="400"/>
      <c r="O1831" s="400"/>
      <c r="P1831" s="400"/>
      <c r="Q1831" s="21"/>
      <c r="R1831" s="21"/>
      <c r="S1831" s="8"/>
    </row>
    <row r="1832" spans="1:187" s="57" customFormat="1" ht="18.75" customHeight="1">
      <c r="A1832" s="13">
        <v>12</v>
      </c>
      <c r="B1832" s="108" t="s">
        <v>580</v>
      </c>
      <c r="C1832" s="45"/>
      <c r="D1832" s="44">
        <v>84</v>
      </c>
      <c r="E1832" s="44"/>
      <c r="F1832" s="44">
        <v>52</v>
      </c>
      <c r="G1832" s="44">
        <v>62</v>
      </c>
      <c r="H1832" s="44">
        <v>64</v>
      </c>
      <c r="I1832" s="44">
        <v>65</v>
      </c>
      <c r="J1832" s="44"/>
      <c r="K1832" s="44">
        <v>66</v>
      </c>
      <c r="L1832" s="44">
        <f>L1833+L1838</f>
        <v>26</v>
      </c>
      <c r="M1832" s="44">
        <f>M1833+M1838</f>
        <v>31</v>
      </c>
      <c r="N1832" s="44">
        <f>N1833+N1838</f>
        <v>41</v>
      </c>
      <c r="O1832" s="44">
        <f>O1833+O1838</f>
        <v>50</v>
      </c>
      <c r="P1832" s="44">
        <f>P1833+P1838</f>
        <v>50</v>
      </c>
      <c r="Q1832" s="258">
        <f>Q1833</f>
        <v>0</v>
      </c>
      <c r="R1832" s="99">
        <f>R1833</f>
        <v>0</v>
      </c>
      <c r="S1832" s="99">
        <f>S1833</f>
        <v>0</v>
      </c>
      <c r="T1832" s="56"/>
      <c r="U1832" s="56"/>
      <c r="V1832" s="56"/>
      <c r="W1832" s="56"/>
      <c r="X1832" s="56"/>
      <c r="Y1832" s="56"/>
      <c r="Z1832" s="56"/>
      <c r="AA1832" s="56"/>
      <c r="AB1832" s="56"/>
      <c r="AC1832" s="56"/>
      <c r="AD1832" s="56"/>
      <c r="AE1832" s="56"/>
      <c r="AF1832" s="56"/>
      <c r="AG1832" s="56"/>
      <c r="AH1832" s="56"/>
      <c r="AI1832" s="56"/>
      <c r="AJ1832" s="56"/>
      <c r="AK1832" s="56"/>
      <c r="AL1832" s="56"/>
      <c r="AM1832" s="56"/>
      <c r="AN1832" s="56"/>
      <c r="AO1832" s="56"/>
      <c r="AP1832" s="56"/>
      <c r="AQ1832" s="56"/>
      <c r="AR1832" s="56"/>
      <c r="AS1832" s="56"/>
      <c r="AT1832" s="56"/>
      <c r="AU1832" s="56"/>
      <c r="AV1832" s="56"/>
      <c r="AW1832" s="56"/>
      <c r="AX1832" s="56"/>
      <c r="AY1832" s="56"/>
      <c r="AZ1832" s="56"/>
      <c r="BA1832" s="56"/>
      <c r="BB1832" s="56"/>
      <c r="BC1832" s="56"/>
      <c r="BD1832" s="56"/>
      <c r="BE1832" s="56"/>
      <c r="BF1832" s="56"/>
      <c r="BG1832" s="56"/>
      <c r="BH1832" s="56"/>
      <c r="BI1832" s="56"/>
      <c r="BJ1832" s="56"/>
      <c r="BK1832" s="56"/>
      <c r="BL1832" s="56"/>
      <c r="BM1832" s="56"/>
      <c r="BN1832" s="56"/>
      <c r="BO1832" s="56"/>
      <c r="BP1832" s="56"/>
      <c r="BQ1832" s="56"/>
      <c r="BR1832" s="56"/>
      <c r="BS1832" s="56"/>
      <c r="BT1832" s="56"/>
      <c r="BU1832" s="56"/>
      <c r="BV1832" s="56"/>
      <c r="BW1832" s="56"/>
      <c r="BX1832" s="56"/>
      <c r="BY1832" s="56"/>
      <c r="BZ1832" s="56"/>
      <c r="CA1832" s="56"/>
      <c r="CB1832" s="56"/>
      <c r="CC1832" s="56"/>
      <c r="CD1832" s="56"/>
      <c r="CE1832" s="56"/>
      <c r="CF1832" s="56"/>
      <c r="CG1832" s="56"/>
      <c r="CH1832" s="56"/>
      <c r="CI1832" s="56"/>
      <c r="CJ1832" s="56"/>
      <c r="CK1832" s="56"/>
      <c r="CL1832" s="56"/>
      <c r="CM1832" s="56"/>
      <c r="CN1832" s="56"/>
      <c r="CO1832" s="56"/>
      <c r="CP1832" s="56"/>
      <c r="CQ1832" s="56"/>
      <c r="CR1832" s="56"/>
      <c r="CS1832" s="56"/>
      <c r="CT1832" s="56"/>
      <c r="CU1832" s="56"/>
      <c r="CV1832" s="56"/>
      <c r="CW1832" s="56"/>
      <c r="CX1832" s="56"/>
      <c r="CY1832" s="56"/>
      <c r="CZ1832" s="56"/>
      <c r="DA1832" s="56"/>
      <c r="DB1832" s="56"/>
      <c r="DC1832" s="56"/>
      <c r="DD1832" s="56"/>
      <c r="DE1832" s="56"/>
      <c r="DF1832" s="56"/>
      <c r="DG1832" s="56"/>
      <c r="DH1832" s="56"/>
      <c r="DI1832" s="56"/>
      <c r="DJ1832" s="56"/>
      <c r="DK1832" s="56"/>
      <c r="DL1832" s="56"/>
      <c r="DM1832" s="56"/>
      <c r="DN1832" s="56"/>
      <c r="DO1832" s="56"/>
      <c r="DP1832" s="56"/>
      <c r="DQ1832" s="56"/>
      <c r="DR1832" s="56"/>
      <c r="DS1832" s="56"/>
      <c r="DT1832" s="56"/>
      <c r="DU1832" s="56"/>
      <c r="DV1832" s="56"/>
      <c r="DW1832" s="56"/>
      <c r="DX1832" s="56"/>
      <c r="DY1832" s="56"/>
      <c r="DZ1832" s="56"/>
      <c r="EA1832" s="56"/>
      <c r="EB1832" s="56"/>
      <c r="EC1832" s="56"/>
      <c r="ED1832" s="56"/>
      <c r="EE1832" s="56"/>
      <c r="EF1832" s="56"/>
      <c r="EG1832" s="56"/>
      <c r="EH1832" s="56"/>
      <c r="EI1832" s="56"/>
      <c r="EJ1832" s="56"/>
      <c r="EK1832" s="56"/>
      <c r="EL1832" s="56"/>
      <c r="EM1832" s="56"/>
      <c r="EN1832" s="56"/>
      <c r="EO1832" s="56"/>
      <c r="EP1832" s="56"/>
      <c r="EQ1832" s="56"/>
      <c r="ER1832" s="56"/>
      <c r="ES1832" s="56"/>
      <c r="ET1832" s="56"/>
      <c r="EU1832" s="56"/>
      <c r="EV1832" s="56"/>
      <c r="EW1832" s="56"/>
      <c r="EX1832" s="56"/>
      <c r="EY1832" s="56"/>
      <c r="EZ1832" s="56"/>
      <c r="FA1832" s="56"/>
      <c r="FB1832" s="56"/>
      <c r="FC1832" s="56"/>
      <c r="FD1832" s="56"/>
      <c r="FE1832" s="56"/>
      <c r="FF1832" s="56"/>
      <c r="FG1832" s="56"/>
      <c r="FH1832" s="56"/>
      <c r="FI1832" s="56"/>
      <c r="FJ1832" s="56"/>
      <c r="FK1832" s="56"/>
      <c r="FL1832" s="56"/>
      <c r="FM1832" s="56"/>
      <c r="FN1832" s="56"/>
      <c r="FO1832" s="56"/>
      <c r="FP1832" s="56"/>
      <c r="FQ1832" s="56"/>
      <c r="FR1832" s="56"/>
      <c r="FS1832" s="56"/>
      <c r="FT1832" s="56"/>
      <c r="FU1832" s="56"/>
      <c r="FV1832" s="56"/>
      <c r="FW1832" s="56"/>
      <c r="FX1832" s="56"/>
      <c r="FY1832" s="56"/>
      <c r="FZ1832" s="56"/>
      <c r="GA1832" s="56"/>
      <c r="GB1832" s="56"/>
      <c r="GC1832" s="56"/>
      <c r="GD1832" s="56"/>
      <c r="GE1832" s="56"/>
    </row>
    <row r="1833" spans="1:48" s="18" customFormat="1" ht="19.5" customHeight="1">
      <c r="A1833" s="50"/>
      <c r="B1833" s="93" t="s">
        <v>669</v>
      </c>
      <c r="C1833" s="16"/>
      <c r="D1833" s="52"/>
      <c r="E1833" s="52"/>
      <c r="F1833" s="52"/>
      <c r="G1833" s="52"/>
      <c r="H1833" s="52"/>
      <c r="I1833" s="52"/>
      <c r="J1833" s="52"/>
      <c r="K1833" s="52"/>
      <c r="L1833" s="60">
        <f>SUM(L1834:L1837)</f>
        <v>24</v>
      </c>
      <c r="M1833" s="60">
        <f>SUM(M1834:M1837)</f>
        <v>29</v>
      </c>
      <c r="N1833" s="60">
        <f>SUM(N1834:N1837)</f>
        <v>39</v>
      </c>
      <c r="O1833" s="60">
        <f>SUM(O1834:O1837)</f>
        <v>48</v>
      </c>
      <c r="P1833" s="60">
        <f>SUM(P1834:P1837)</f>
        <v>48</v>
      </c>
      <c r="Q1833" s="23"/>
      <c r="R1833" s="23"/>
      <c r="S1833" s="17"/>
      <c r="T1833" s="47"/>
      <c r="U1833" s="47"/>
      <c r="V1833" s="47"/>
      <c r="W1833" s="47"/>
      <c r="X1833" s="47"/>
      <c r="Y1833" s="47"/>
      <c r="Z1833" s="47"/>
      <c r="AA1833" s="47"/>
      <c r="AB1833" s="47"/>
      <c r="AC1833" s="47"/>
      <c r="AD1833" s="47"/>
      <c r="AE1833" s="47"/>
      <c r="AF1833" s="47"/>
      <c r="AG1833" s="47"/>
      <c r="AH1833" s="47"/>
      <c r="AI1833" s="47"/>
      <c r="AJ1833" s="47"/>
      <c r="AK1833" s="47"/>
      <c r="AL1833" s="47"/>
      <c r="AM1833" s="47"/>
      <c r="AN1833" s="47"/>
      <c r="AO1833" s="47"/>
      <c r="AP1833" s="47"/>
      <c r="AQ1833" s="47"/>
      <c r="AR1833" s="47"/>
      <c r="AS1833" s="47"/>
      <c r="AT1833" s="47"/>
      <c r="AU1833" s="47"/>
      <c r="AV1833" s="47"/>
    </row>
    <row r="1834" spans="1:48" s="27" customFormat="1" ht="17.25" customHeight="1">
      <c r="A1834" s="12"/>
      <c r="B1834" s="97" t="s">
        <v>1318</v>
      </c>
      <c r="C1834" s="29" t="s">
        <v>598</v>
      </c>
      <c r="D1834" s="40"/>
      <c r="E1834" s="40"/>
      <c r="F1834" s="40">
        <v>18</v>
      </c>
      <c r="G1834" s="40">
        <v>22</v>
      </c>
      <c r="H1834" s="40">
        <v>23</v>
      </c>
      <c r="I1834" s="40">
        <v>24</v>
      </c>
      <c r="J1834" s="40"/>
      <c r="K1834" s="40">
        <v>24</v>
      </c>
      <c r="L1834" s="40">
        <v>7</v>
      </c>
      <c r="M1834" s="40">
        <v>9</v>
      </c>
      <c r="N1834" s="40">
        <v>12</v>
      </c>
      <c r="O1834" s="40">
        <v>15</v>
      </c>
      <c r="P1834" s="40">
        <v>15</v>
      </c>
      <c r="Q1834" s="30"/>
      <c r="R1834" s="30"/>
      <c r="S1834" s="30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</row>
    <row r="1835" spans="1:48" s="27" customFormat="1" ht="17.25" customHeight="1">
      <c r="A1835" s="12"/>
      <c r="B1835" s="97" t="s">
        <v>599</v>
      </c>
      <c r="C1835" s="15" t="s">
        <v>600</v>
      </c>
      <c r="D1835" s="40"/>
      <c r="E1835" s="40"/>
      <c r="F1835" s="40">
        <v>9</v>
      </c>
      <c r="G1835" s="40">
        <v>9</v>
      </c>
      <c r="H1835" s="40">
        <v>9</v>
      </c>
      <c r="I1835" s="40">
        <v>9</v>
      </c>
      <c r="J1835" s="40"/>
      <c r="K1835" s="40">
        <v>10</v>
      </c>
      <c r="L1835" s="40">
        <v>9</v>
      </c>
      <c r="M1835" s="40">
        <v>11</v>
      </c>
      <c r="N1835" s="40">
        <v>15</v>
      </c>
      <c r="O1835" s="40">
        <v>15</v>
      </c>
      <c r="P1835" s="40">
        <v>15</v>
      </c>
      <c r="Q1835" s="30"/>
      <c r="R1835" s="30"/>
      <c r="S1835" s="30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</row>
    <row r="1836" spans="1:48" s="27" customFormat="1" ht="17.25" customHeight="1">
      <c r="A1836" s="12"/>
      <c r="B1836" s="97" t="s">
        <v>453</v>
      </c>
      <c r="C1836" s="29" t="s">
        <v>454</v>
      </c>
      <c r="D1836" s="40"/>
      <c r="E1836" s="40"/>
      <c r="F1836" s="40">
        <v>5</v>
      </c>
      <c r="G1836" s="40">
        <v>16</v>
      </c>
      <c r="H1836" s="40">
        <v>16</v>
      </c>
      <c r="I1836" s="40">
        <v>16</v>
      </c>
      <c r="J1836" s="40"/>
      <c r="K1836" s="40">
        <v>16</v>
      </c>
      <c r="L1836" s="40">
        <v>6</v>
      </c>
      <c r="M1836" s="40">
        <v>7</v>
      </c>
      <c r="N1836" s="40">
        <v>9</v>
      </c>
      <c r="O1836" s="40">
        <v>13</v>
      </c>
      <c r="P1836" s="40">
        <v>13</v>
      </c>
      <c r="Q1836" s="30"/>
      <c r="R1836" s="30"/>
      <c r="S1836" s="30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</row>
    <row r="1837" spans="1:48" s="27" customFormat="1" ht="18.75" customHeight="1">
      <c r="A1837" s="12"/>
      <c r="B1837" s="97" t="s">
        <v>1316</v>
      </c>
      <c r="C1837" s="29" t="s">
        <v>1317</v>
      </c>
      <c r="D1837" s="40"/>
      <c r="E1837" s="40"/>
      <c r="F1837" s="40">
        <v>3</v>
      </c>
      <c r="G1837" s="40">
        <v>3</v>
      </c>
      <c r="H1837" s="40">
        <v>4</v>
      </c>
      <c r="I1837" s="40">
        <v>4</v>
      </c>
      <c r="J1837" s="40"/>
      <c r="K1837" s="40">
        <v>4</v>
      </c>
      <c r="L1837" s="40">
        <v>2</v>
      </c>
      <c r="M1837" s="40">
        <v>2</v>
      </c>
      <c r="N1837" s="40">
        <v>3</v>
      </c>
      <c r="O1837" s="40">
        <v>5</v>
      </c>
      <c r="P1837" s="40">
        <v>5</v>
      </c>
      <c r="Q1837" s="30"/>
      <c r="R1837" s="30"/>
      <c r="S1837" s="30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</row>
    <row r="1838" spans="1:48" s="18" customFormat="1" ht="17.25" customHeight="1">
      <c r="A1838" s="50"/>
      <c r="B1838" s="93" t="s">
        <v>670</v>
      </c>
      <c r="C1838" s="16"/>
      <c r="D1838" s="52"/>
      <c r="E1838" s="52"/>
      <c r="F1838" s="52"/>
      <c r="G1838" s="52"/>
      <c r="H1838" s="52"/>
      <c r="I1838" s="52"/>
      <c r="J1838" s="52"/>
      <c r="K1838" s="52"/>
      <c r="L1838" s="60">
        <v>2</v>
      </c>
      <c r="M1838" s="60">
        <v>2</v>
      </c>
      <c r="N1838" s="60">
        <v>2</v>
      </c>
      <c r="O1838" s="60">
        <v>2</v>
      </c>
      <c r="P1838" s="60">
        <v>2</v>
      </c>
      <c r="Q1838" s="256">
        <f>SUM(Q1839:Q1841)</f>
        <v>0</v>
      </c>
      <c r="R1838" s="100">
        <f>SUM(R1839:R1841)</f>
        <v>1</v>
      </c>
      <c r="S1838" s="100">
        <f>SUM(S1839:S1841)</f>
        <v>0</v>
      </c>
      <c r="T1838" s="47"/>
      <c r="U1838" s="47"/>
      <c r="V1838" s="47"/>
      <c r="W1838" s="47"/>
      <c r="X1838" s="47"/>
      <c r="Y1838" s="47"/>
      <c r="Z1838" s="47"/>
      <c r="AA1838" s="47"/>
      <c r="AB1838" s="47"/>
      <c r="AC1838" s="47"/>
      <c r="AD1838" s="47"/>
      <c r="AE1838" s="47"/>
      <c r="AF1838" s="47"/>
      <c r="AG1838" s="47"/>
      <c r="AH1838" s="47"/>
      <c r="AI1838" s="47"/>
      <c r="AJ1838" s="47"/>
      <c r="AK1838" s="47"/>
      <c r="AL1838" s="47"/>
      <c r="AM1838" s="47"/>
      <c r="AN1838" s="47"/>
      <c r="AO1838" s="47"/>
      <c r="AP1838" s="47"/>
      <c r="AQ1838" s="47"/>
      <c r="AR1838" s="47"/>
      <c r="AS1838" s="47"/>
      <c r="AT1838" s="47"/>
      <c r="AU1838" s="47"/>
      <c r="AV1838" s="47"/>
    </row>
    <row r="1839" spans="1:48" s="27" customFormat="1" ht="18" customHeight="1">
      <c r="A1839" s="12"/>
      <c r="B1839" s="111" t="s">
        <v>422</v>
      </c>
      <c r="C1839" s="15" t="s">
        <v>423</v>
      </c>
      <c r="D1839" s="51"/>
      <c r="E1839" s="51"/>
      <c r="F1839" s="51">
        <v>11</v>
      </c>
      <c r="G1839" s="51">
        <v>11</v>
      </c>
      <c r="H1839" s="51">
        <v>11</v>
      </c>
      <c r="I1839" s="51">
        <v>11</v>
      </c>
      <c r="J1839" s="51"/>
      <c r="K1839" s="51">
        <v>11</v>
      </c>
      <c r="L1839" s="40">
        <v>1</v>
      </c>
      <c r="M1839" s="40">
        <v>1</v>
      </c>
      <c r="N1839" s="40">
        <v>1</v>
      </c>
      <c r="O1839" s="40">
        <v>1</v>
      </c>
      <c r="P1839" s="40">
        <v>1</v>
      </c>
      <c r="Q1839" s="33" t="s">
        <v>556</v>
      </c>
      <c r="R1839" s="28" t="s">
        <v>556</v>
      </c>
      <c r="S1839" s="28" t="s">
        <v>556</v>
      </c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</row>
    <row r="1840" spans="1:48" s="27" customFormat="1" ht="30.75" customHeight="1">
      <c r="A1840" s="12"/>
      <c r="B1840" s="97" t="s">
        <v>280</v>
      </c>
      <c r="C1840" s="66" t="s">
        <v>281</v>
      </c>
      <c r="D1840" s="51"/>
      <c r="E1840" s="51"/>
      <c r="F1840" s="51"/>
      <c r="G1840" s="51"/>
      <c r="H1840" s="51"/>
      <c r="I1840" s="51"/>
      <c r="J1840" s="51"/>
      <c r="K1840" s="51"/>
      <c r="L1840" s="40">
        <v>1</v>
      </c>
      <c r="M1840" s="40">
        <v>1</v>
      </c>
      <c r="N1840" s="40">
        <v>1</v>
      </c>
      <c r="O1840" s="40">
        <v>1</v>
      </c>
      <c r="P1840" s="40">
        <v>1</v>
      </c>
      <c r="Q1840" s="39"/>
      <c r="R1840" s="39"/>
      <c r="S1840" s="39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</row>
    <row r="1841" spans="1:188" s="57" customFormat="1" ht="17.25" customHeight="1">
      <c r="A1841" s="13">
        <v>13</v>
      </c>
      <c r="B1841" s="92" t="s">
        <v>504</v>
      </c>
      <c r="C1841" s="45"/>
      <c r="D1841" s="44">
        <v>46</v>
      </c>
      <c r="E1841" s="44">
        <v>1</v>
      </c>
      <c r="F1841" s="44">
        <v>23</v>
      </c>
      <c r="G1841" s="44">
        <v>49</v>
      </c>
      <c r="H1841" s="44">
        <v>50</v>
      </c>
      <c r="I1841" s="44">
        <v>50</v>
      </c>
      <c r="J1841" s="44">
        <v>50</v>
      </c>
      <c r="K1841" s="44">
        <v>50</v>
      </c>
      <c r="L1841" s="44">
        <v>3</v>
      </c>
      <c r="M1841" s="44">
        <v>1</v>
      </c>
      <c r="N1841" s="44">
        <v>1</v>
      </c>
      <c r="O1841" s="44">
        <v>1</v>
      </c>
      <c r="P1841" s="44">
        <v>1</v>
      </c>
      <c r="Q1841" s="54" t="s">
        <v>649</v>
      </c>
      <c r="R1841" s="54">
        <v>1</v>
      </c>
      <c r="S1841" s="55" t="s">
        <v>535</v>
      </c>
      <c r="T1841" s="56"/>
      <c r="U1841" s="56"/>
      <c r="V1841" s="56"/>
      <c r="W1841" s="56"/>
      <c r="X1841" s="56"/>
      <c r="Y1841" s="56"/>
      <c r="Z1841" s="56"/>
      <c r="AA1841" s="56"/>
      <c r="AB1841" s="56"/>
      <c r="AC1841" s="56"/>
      <c r="AD1841" s="56"/>
      <c r="AE1841" s="56"/>
      <c r="AF1841" s="56"/>
      <c r="AG1841" s="56"/>
      <c r="AH1841" s="56"/>
      <c r="AI1841" s="56"/>
      <c r="AJ1841" s="56"/>
      <c r="AK1841" s="56"/>
      <c r="AL1841" s="56"/>
      <c r="AM1841" s="56"/>
      <c r="AN1841" s="56"/>
      <c r="AO1841" s="56"/>
      <c r="AP1841" s="56"/>
      <c r="AQ1841" s="56"/>
      <c r="AR1841" s="56"/>
      <c r="AS1841" s="56"/>
      <c r="AT1841" s="56"/>
      <c r="AU1841" s="56"/>
      <c r="AV1841" s="56"/>
      <c r="AW1841" s="56"/>
      <c r="AX1841" s="56"/>
      <c r="AY1841" s="56"/>
      <c r="AZ1841" s="56"/>
      <c r="BA1841" s="56"/>
      <c r="BB1841" s="56"/>
      <c r="BC1841" s="56"/>
      <c r="BD1841" s="56"/>
      <c r="BE1841" s="56"/>
      <c r="BF1841" s="56"/>
      <c r="BG1841" s="56"/>
      <c r="BH1841" s="56"/>
      <c r="BI1841" s="56"/>
      <c r="BJ1841" s="56"/>
      <c r="BK1841" s="56"/>
      <c r="BL1841" s="56"/>
      <c r="BM1841" s="56"/>
      <c r="BN1841" s="56"/>
      <c r="BO1841" s="56"/>
      <c r="BP1841" s="56"/>
      <c r="BQ1841" s="56"/>
      <c r="BR1841" s="56"/>
      <c r="BS1841" s="56"/>
      <c r="BT1841" s="56"/>
      <c r="BU1841" s="56"/>
      <c r="BV1841" s="56"/>
      <c r="BW1841" s="56"/>
      <c r="BX1841" s="56"/>
      <c r="BY1841" s="56"/>
      <c r="BZ1841" s="56"/>
      <c r="CA1841" s="56"/>
      <c r="CB1841" s="56"/>
      <c r="CC1841" s="56"/>
      <c r="CD1841" s="56"/>
      <c r="CE1841" s="56"/>
      <c r="CF1841" s="56"/>
      <c r="CG1841" s="56"/>
      <c r="CH1841" s="56"/>
      <c r="CI1841" s="56"/>
      <c r="CJ1841" s="56"/>
      <c r="CK1841" s="56"/>
      <c r="CL1841" s="56"/>
      <c r="CM1841" s="56"/>
      <c r="CN1841" s="56"/>
      <c r="CO1841" s="56"/>
      <c r="CP1841" s="56"/>
      <c r="CQ1841" s="56"/>
      <c r="CR1841" s="56"/>
      <c r="CS1841" s="56"/>
      <c r="CT1841" s="56"/>
      <c r="CU1841" s="56"/>
      <c r="CV1841" s="56"/>
      <c r="CW1841" s="56"/>
      <c r="CX1841" s="56"/>
      <c r="CY1841" s="56"/>
      <c r="CZ1841" s="56"/>
      <c r="DA1841" s="56"/>
      <c r="DB1841" s="56"/>
      <c r="DC1841" s="56"/>
      <c r="DD1841" s="56"/>
      <c r="DE1841" s="56"/>
      <c r="DF1841" s="56"/>
      <c r="DG1841" s="56"/>
      <c r="DH1841" s="56"/>
      <c r="DI1841" s="56"/>
      <c r="DJ1841" s="56"/>
      <c r="DK1841" s="56"/>
      <c r="DL1841" s="56"/>
      <c r="DM1841" s="56"/>
      <c r="DN1841" s="56"/>
      <c r="DO1841" s="56"/>
      <c r="DP1841" s="56"/>
      <c r="DQ1841" s="56"/>
      <c r="DR1841" s="56"/>
      <c r="DS1841" s="56"/>
      <c r="DT1841" s="56"/>
      <c r="DU1841" s="56"/>
      <c r="DV1841" s="56"/>
      <c r="DW1841" s="56"/>
      <c r="DX1841" s="56"/>
      <c r="DY1841" s="56"/>
      <c r="DZ1841" s="56"/>
      <c r="EA1841" s="56"/>
      <c r="EB1841" s="56"/>
      <c r="EC1841" s="56"/>
      <c r="ED1841" s="56"/>
      <c r="EE1841" s="56"/>
      <c r="EF1841" s="56"/>
      <c r="EG1841" s="56"/>
      <c r="EH1841" s="56"/>
      <c r="EI1841" s="56"/>
      <c r="EJ1841" s="56"/>
      <c r="EK1841" s="56"/>
      <c r="EL1841" s="56"/>
      <c r="EM1841" s="56"/>
      <c r="EN1841" s="56"/>
      <c r="EO1841" s="56"/>
      <c r="EP1841" s="56"/>
      <c r="EQ1841" s="56"/>
      <c r="ER1841" s="56"/>
      <c r="ES1841" s="56"/>
      <c r="ET1841" s="56"/>
      <c r="EU1841" s="56"/>
      <c r="EV1841" s="56"/>
      <c r="EW1841" s="56"/>
      <c r="EX1841" s="56"/>
      <c r="EY1841" s="56"/>
      <c r="EZ1841" s="56"/>
      <c r="FA1841" s="56"/>
      <c r="FB1841" s="56"/>
      <c r="FC1841" s="56"/>
      <c r="FD1841" s="56"/>
      <c r="FE1841" s="56"/>
      <c r="FF1841" s="56"/>
      <c r="FG1841" s="56"/>
      <c r="FH1841" s="56"/>
      <c r="FI1841" s="56"/>
      <c r="FJ1841" s="56"/>
      <c r="FK1841" s="56"/>
      <c r="FL1841" s="56"/>
      <c r="FM1841" s="56"/>
      <c r="FN1841" s="56"/>
      <c r="FO1841" s="56"/>
      <c r="FP1841" s="56"/>
      <c r="FQ1841" s="56"/>
      <c r="FR1841" s="56"/>
      <c r="FS1841" s="56"/>
      <c r="FT1841" s="56"/>
      <c r="FU1841" s="56"/>
      <c r="FV1841" s="56"/>
      <c r="FW1841" s="56"/>
      <c r="FX1841" s="56"/>
      <c r="FY1841" s="56"/>
      <c r="FZ1841" s="56"/>
      <c r="GA1841" s="56"/>
      <c r="GB1841" s="56"/>
      <c r="GC1841" s="56"/>
      <c r="GD1841" s="56"/>
      <c r="GE1841" s="56"/>
      <c r="GF1841" s="56"/>
    </row>
    <row r="1842" spans="1:48" s="18" customFormat="1" ht="17.25" customHeight="1">
      <c r="A1842" s="50"/>
      <c r="B1842" s="93" t="s">
        <v>669</v>
      </c>
      <c r="C1842" s="16"/>
      <c r="D1842" s="52"/>
      <c r="E1842" s="52"/>
      <c r="F1842" s="52"/>
      <c r="G1842" s="52"/>
      <c r="H1842" s="52"/>
      <c r="I1842" s="52"/>
      <c r="J1842" s="52"/>
      <c r="K1842" s="52"/>
      <c r="L1842" s="60">
        <v>3</v>
      </c>
      <c r="M1842" s="60">
        <v>1</v>
      </c>
      <c r="N1842" s="60">
        <v>1</v>
      </c>
      <c r="O1842" s="60">
        <v>1</v>
      </c>
      <c r="P1842" s="60">
        <v>1</v>
      </c>
      <c r="T1842" s="47"/>
      <c r="U1842" s="47"/>
      <c r="V1842" s="47"/>
      <c r="W1842" s="47"/>
      <c r="X1842" s="47"/>
      <c r="Y1842" s="47"/>
      <c r="Z1842" s="47"/>
      <c r="AA1842" s="47"/>
      <c r="AB1842" s="47"/>
      <c r="AC1842" s="47"/>
      <c r="AD1842" s="47"/>
      <c r="AE1842" s="47"/>
      <c r="AF1842" s="47"/>
      <c r="AG1842" s="47"/>
      <c r="AH1842" s="47"/>
      <c r="AI1842" s="47"/>
      <c r="AJ1842" s="47"/>
      <c r="AK1842" s="47"/>
      <c r="AL1842" s="47"/>
      <c r="AM1842" s="47"/>
      <c r="AN1842" s="47"/>
      <c r="AO1842" s="47"/>
      <c r="AP1842" s="47"/>
      <c r="AQ1842" s="47"/>
      <c r="AR1842" s="47"/>
      <c r="AS1842" s="47"/>
      <c r="AT1842" s="47"/>
      <c r="AU1842" s="47"/>
      <c r="AV1842" s="47"/>
    </row>
    <row r="1843" spans="1:48" s="27" customFormat="1" ht="17.25" customHeight="1">
      <c r="A1843" s="12"/>
      <c r="B1843" s="97" t="s">
        <v>607</v>
      </c>
      <c r="C1843" s="29" t="s">
        <v>608</v>
      </c>
      <c r="D1843" s="51"/>
      <c r="E1843" s="51"/>
      <c r="F1843" s="51">
        <v>10</v>
      </c>
      <c r="G1843" s="51">
        <v>3</v>
      </c>
      <c r="H1843" s="51">
        <v>3</v>
      </c>
      <c r="I1843" s="51">
        <v>4</v>
      </c>
      <c r="J1843" s="51">
        <v>4</v>
      </c>
      <c r="K1843" s="51">
        <v>4</v>
      </c>
      <c r="L1843" s="40">
        <v>3</v>
      </c>
      <c r="M1843" s="40">
        <v>1</v>
      </c>
      <c r="N1843" s="40">
        <v>1</v>
      </c>
      <c r="O1843" s="40">
        <v>1</v>
      </c>
      <c r="P1843" s="40">
        <v>1</v>
      </c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</row>
    <row r="1844" spans="1:188" s="57" customFormat="1" ht="17.25" customHeight="1">
      <c r="A1844" s="13">
        <v>14</v>
      </c>
      <c r="B1844" s="92" t="s">
        <v>509</v>
      </c>
      <c r="C1844" s="45"/>
      <c r="D1844" s="44">
        <v>3</v>
      </c>
      <c r="E1844" s="44" t="s">
        <v>556</v>
      </c>
      <c r="F1844" s="44"/>
      <c r="G1844" s="44">
        <v>6</v>
      </c>
      <c r="H1844" s="44">
        <v>7</v>
      </c>
      <c r="I1844" s="44">
        <v>10</v>
      </c>
      <c r="J1844" s="44">
        <v>10</v>
      </c>
      <c r="K1844" s="44">
        <v>10</v>
      </c>
      <c r="L1844" s="44">
        <v>3</v>
      </c>
      <c r="M1844" s="44">
        <v>1</v>
      </c>
      <c r="N1844" s="44">
        <v>3</v>
      </c>
      <c r="O1844" s="44" t="str">
        <f>O1847</f>
        <v> -</v>
      </c>
      <c r="P1844" s="44" t="str">
        <f>P1847</f>
        <v> -</v>
      </c>
      <c r="Q1844" s="54" t="s">
        <v>649</v>
      </c>
      <c r="R1844" s="54">
        <v>7</v>
      </c>
      <c r="S1844" s="55" t="s">
        <v>590</v>
      </c>
      <c r="T1844" s="56"/>
      <c r="U1844" s="56"/>
      <c r="V1844" s="56"/>
      <c r="W1844" s="56"/>
      <c r="X1844" s="56"/>
      <c r="Y1844" s="56"/>
      <c r="Z1844" s="56"/>
      <c r="AA1844" s="56"/>
      <c r="AB1844" s="56"/>
      <c r="AC1844" s="56"/>
      <c r="AD1844" s="56"/>
      <c r="AE1844" s="56"/>
      <c r="AF1844" s="56"/>
      <c r="AG1844" s="56"/>
      <c r="AH1844" s="56"/>
      <c r="AI1844" s="56"/>
      <c r="AJ1844" s="56"/>
      <c r="AK1844" s="56"/>
      <c r="AL1844" s="56"/>
      <c r="AM1844" s="56"/>
      <c r="AN1844" s="56"/>
      <c r="AO1844" s="56"/>
      <c r="AP1844" s="56"/>
      <c r="AQ1844" s="56"/>
      <c r="AR1844" s="56"/>
      <c r="AS1844" s="56"/>
      <c r="AT1844" s="56"/>
      <c r="AU1844" s="56"/>
      <c r="AV1844" s="56"/>
      <c r="AW1844" s="56"/>
      <c r="AX1844" s="56"/>
      <c r="AY1844" s="56"/>
      <c r="AZ1844" s="56"/>
      <c r="BA1844" s="56"/>
      <c r="BB1844" s="56"/>
      <c r="BC1844" s="56"/>
      <c r="BD1844" s="56"/>
      <c r="BE1844" s="56"/>
      <c r="BF1844" s="56"/>
      <c r="BG1844" s="56"/>
      <c r="BH1844" s="56"/>
      <c r="BI1844" s="56"/>
      <c r="BJ1844" s="56"/>
      <c r="BK1844" s="56"/>
      <c r="BL1844" s="56"/>
      <c r="BM1844" s="56"/>
      <c r="BN1844" s="56"/>
      <c r="BO1844" s="56"/>
      <c r="BP1844" s="56"/>
      <c r="BQ1844" s="56"/>
      <c r="BR1844" s="56"/>
      <c r="BS1844" s="56"/>
      <c r="BT1844" s="56"/>
      <c r="BU1844" s="56"/>
      <c r="BV1844" s="56"/>
      <c r="BW1844" s="56"/>
      <c r="BX1844" s="56"/>
      <c r="BY1844" s="56"/>
      <c r="BZ1844" s="56"/>
      <c r="CA1844" s="56"/>
      <c r="CB1844" s="56"/>
      <c r="CC1844" s="56"/>
      <c r="CD1844" s="56"/>
      <c r="CE1844" s="56"/>
      <c r="CF1844" s="56"/>
      <c r="CG1844" s="56"/>
      <c r="CH1844" s="56"/>
      <c r="CI1844" s="56"/>
      <c r="CJ1844" s="56"/>
      <c r="CK1844" s="56"/>
      <c r="CL1844" s="56"/>
      <c r="CM1844" s="56"/>
      <c r="CN1844" s="56"/>
      <c r="CO1844" s="56"/>
      <c r="CP1844" s="56"/>
      <c r="CQ1844" s="56"/>
      <c r="CR1844" s="56"/>
      <c r="CS1844" s="56"/>
      <c r="CT1844" s="56"/>
      <c r="CU1844" s="56"/>
      <c r="CV1844" s="56"/>
      <c r="CW1844" s="56"/>
      <c r="CX1844" s="56"/>
      <c r="CY1844" s="56"/>
      <c r="CZ1844" s="56"/>
      <c r="DA1844" s="56"/>
      <c r="DB1844" s="56"/>
      <c r="DC1844" s="56"/>
      <c r="DD1844" s="56"/>
      <c r="DE1844" s="56"/>
      <c r="DF1844" s="56"/>
      <c r="DG1844" s="56"/>
      <c r="DH1844" s="56"/>
      <c r="DI1844" s="56"/>
      <c r="DJ1844" s="56"/>
      <c r="DK1844" s="56"/>
      <c r="DL1844" s="56"/>
      <c r="DM1844" s="56"/>
      <c r="DN1844" s="56"/>
      <c r="DO1844" s="56"/>
      <c r="DP1844" s="56"/>
      <c r="DQ1844" s="56"/>
      <c r="DR1844" s="56"/>
      <c r="DS1844" s="56"/>
      <c r="DT1844" s="56"/>
      <c r="DU1844" s="56"/>
      <c r="DV1844" s="56"/>
      <c r="DW1844" s="56"/>
      <c r="DX1844" s="56"/>
      <c r="DY1844" s="56"/>
      <c r="DZ1844" s="56"/>
      <c r="EA1844" s="56"/>
      <c r="EB1844" s="56"/>
      <c r="EC1844" s="56"/>
      <c r="ED1844" s="56"/>
      <c r="EE1844" s="56"/>
      <c r="EF1844" s="56"/>
      <c r="EG1844" s="56"/>
      <c r="EH1844" s="56"/>
      <c r="EI1844" s="56"/>
      <c r="EJ1844" s="56"/>
      <c r="EK1844" s="56"/>
      <c r="EL1844" s="56"/>
      <c r="EM1844" s="56"/>
      <c r="EN1844" s="56"/>
      <c r="EO1844" s="56"/>
      <c r="EP1844" s="56"/>
      <c r="EQ1844" s="56"/>
      <c r="ER1844" s="56"/>
      <c r="ES1844" s="56"/>
      <c r="ET1844" s="56"/>
      <c r="EU1844" s="56"/>
      <c r="EV1844" s="56"/>
      <c r="EW1844" s="56"/>
      <c r="EX1844" s="56"/>
      <c r="EY1844" s="56"/>
      <c r="EZ1844" s="56"/>
      <c r="FA1844" s="56"/>
      <c r="FB1844" s="56"/>
      <c r="FC1844" s="56"/>
      <c r="FD1844" s="56"/>
      <c r="FE1844" s="56"/>
      <c r="FF1844" s="56"/>
      <c r="FG1844" s="56"/>
      <c r="FH1844" s="56"/>
      <c r="FI1844" s="56"/>
      <c r="FJ1844" s="56"/>
      <c r="FK1844" s="56"/>
      <c r="FL1844" s="56"/>
      <c r="FM1844" s="56"/>
      <c r="FN1844" s="56"/>
      <c r="FO1844" s="56"/>
      <c r="FP1844" s="56"/>
      <c r="FQ1844" s="56"/>
      <c r="FR1844" s="56"/>
      <c r="FS1844" s="56"/>
      <c r="FT1844" s="56"/>
      <c r="FU1844" s="56"/>
      <c r="FV1844" s="56"/>
      <c r="FW1844" s="56"/>
      <c r="FX1844" s="56"/>
      <c r="FY1844" s="56"/>
      <c r="FZ1844" s="56"/>
      <c r="GA1844" s="56"/>
      <c r="GB1844" s="56"/>
      <c r="GC1844" s="56"/>
      <c r="GD1844" s="56"/>
      <c r="GE1844" s="56"/>
      <c r="GF1844" s="56"/>
    </row>
    <row r="1845" spans="1:48" s="18" customFormat="1" ht="17.25" customHeight="1">
      <c r="A1845" s="50"/>
      <c r="B1845" s="93" t="s">
        <v>669</v>
      </c>
      <c r="C1845" s="16"/>
      <c r="D1845" s="52"/>
      <c r="E1845" s="52"/>
      <c r="F1845" s="52"/>
      <c r="G1845" s="52"/>
      <c r="H1845" s="52"/>
      <c r="I1845" s="52"/>
      <c r="J1845" s="52"/>
      <c r="K1845" s="52"/>
      <c r="L1845" s="60">
        <f>L1846</f>
        <v>2</v>
      </c>
      <c r="M1845" s="60" t="str">
        <f>M1846</f>
        <v> -</v>
      </c>
      <c r="N1845" s="60">
        <f>N1846</f>
        <v>2</v>
      </c>
      <c r="O1845" s="60" t="str">
        <f>O1846</f>
        <v> -</v>
      </c>
      <c r="P1845" s="60" t="str">
        <f>P1846</f>
        <v> -</v>
      </c>
      <c r="Q1845" s="23"/>
      <c r="R1845" s="23"/>
      <c r="S1845" s="17"/>
      <c r="T1845" s="47"/>
      <c r="U1845" s="47"/>
      <c r="V1845" s="47"/>
      <c r="W1845" s="47"/>
      <c r="X1845" s="47"/>
      <c r="Y1845" s="47"/>
      <c r="Z1845" s="47"/>
      <c r="AA1845" s="47"/>
      <c r="AB1845" s="47"/>
      <c r="AC1845" s="47"/>
      <c r="AD1845" s="47"/>
      <c r="AE1845" s="47"/>
      <c r="AF1845" s="47"/>
      <c r="AG1845" s="47"/>
      <c r="AH1845" s="47"/>
      <c r="AI1845" s="47"/>
      <c r="AJ1845" s="47"/>
      <c r="AK1845" s="47"/>
      <c r="AL1845" s="47"/>
      <c r="AM1845" s="47"/>
      <c r="AN1845" s="47"/>
      <c r="AO1845" s="47"/>
      <c r="AP1845" s="47"/>
      <c r="AQ1845" s="47"/>
      <c r="AR1845" s="47"/>
      <c r="AS1845" s="47"/>
      <c r="AT1845" s="47"/>
      <c r="AU1845" s="47"/>
      <c r="AV1845" s="47"/>
    </row>
    <row r="1846" spans="1:48" s="18" customFormat="1" ht="17.25" customHeight="1">
      <c r="A1846" s="50"/>
      <c r="B1846" s="97" t="s">
        <v>930</v>
      </c>
      <c r="C1846" s="29" t="s">
        <v>931</v>
      </c>
      <c r="D1846" s="51"/>
      <c r="E1846" s="51"/>
      <c r="F1846" s="51"/>
      <c r="G1846" s="51">
        <v>2</v>
      </c>
      <c r="H1846" s="51">
        <v>2</v>
      </c>
      <c r="I1846" s="51">
        <v>4</v>
      </c>
      <c r="J1846" s="51">
        <v>4</v>
      </c>
      <c r="K1846" s="51">
        <v>4</v>
      </c>
      <c r="L1846" s="40">
        <v>2</v>
      </c>
      <c r="M1846" s="40" t="s">
        <v>556</v>
      </c>
      <c r="N1846" s="40">
        <v>2</v>
      </c>
      <c r="O1846" s="40" t="s">
        <v>556</v>
      </c>
      <c r="P1846" s="40" t="s">
        <v>556</v>
      </c>
      <c r="Q1846" s="77"/>
      <c r="R1846" s="77"/>
      <c r="S1846" s="78"/>
      <c r="T1846" s="47"/>
      <c r="U1846" s="47"/>
      <c r="V1846" s="47"/>
      <c r="W1846" s="47"/>
      <c r="X1846" s="47"/>
      <c r="Y1846" s="47"/>
      <c r="Z1846" s="47"/>
      <c r="AA1846" s="47"/>
      <c r="AB1846" s="47"/>
      <c r="AC1846" s="47"/>
      <c r="AD1846" s="47"/>
      <c r="AE1846" s="47"/>
      <c r="AF1846" s="47"/>
      <c r="AG1846" s="47"/>
      <c r="AH1846" s="47"/>
      <c r="AI1846" s="47"/>
      <c r="AJ1846" s="47"/>
      <c r="AK1846" s="47"/>
      <c r="AL1846" s="47"/>
      <c r="AM1846" s="47"/>
      <c r="AN1846" s="47"/>
      <c r="AO1846" s="47"/>
      <c r="AP1846" s="47"/>
      <c r="AQ1846" s="47"/>
      <c r="AR1846" s="47"/>
      <c r="AS1846" s="47"/>
      <c r="AT1846" s="47"/>
      <c r="AU1846" s="47"/>
      <c r="AV1846" s="47"/>
    </row>
    <row r="1847" spans="1:48" s="18" customFormat="1" ht="17.25" customHeight="1">
      <c r="A1847" s="50"/>
      <c r="B1847" s="93" t="s">
        <v>37</v>
      </c>
      <c r="C1847" s="16"/>
      <c r="D1847" s="52"/>
      <c r="E1847" s="52"/>
      <c r="F1847" s="52"/>
      <c r="G1847" s="52"/>
      <c r="H1847" s="52"/>
      <c r="I1847" s="52"/>
      <c r="J1847" s="52"/>
      <c r="K1847" s="52"/>
      <c r="L1847" s="60">
        <v>1</v>
      </c>
      <c r="M1847" s="60">
        <v>1</v>
      </c>
      <c r="N1847" s="60">
        <v>1</v>
      </c>
      <c r="O1847" s="60" t="str">
        <f>O1848</f>
        <v> -</v>
      </c>
      <c r="P1847" s="60" t="str">
        <f>P1848</f>
        <v> -</v>
      </c>
      <c r="Q1847" s="23"/>
      <c r="R1847" s="23"/>
      <c r="S1847" s="17"/>
      <c r="T1847" s="47"/>
      <c r="U1847" s="47"/>
      <c r="V1847" s="47"/>
      <c r="W1847" s="47"/>
      <c r="X1847" s="47"/>
      <c r="Y1847" s="47"/>
      <c r="Z1847" s="47"/>
      <c r="AA1847" s="47"/>
      <c r="AB1847" s="47"/>
      <c r="AC1847" s="47"/>
      <c r="AD1847" s="47"/>
      <c r="AE1847" s="47"/>
      <c r="AF1847" s="47"/>
      <c r="AG1847" s="47"/>
      <c r="AH1847" s="47"/>
      <c r="AI1847" s="47"/>
      <c r="AJ1847" s="47"/>
      <c r="AK1847" s="47"/>
      <c r="AL1847" s="47"/>
      <c r="AM1847" s="47"/>
      <c r="AN1847" s="47"/>
      <c r="AO1847" s="47"/>
      <c r="AP1847" s="47"/>
      <c r="AQ1847" s="47"/>
      <c r="AR1847" s="47"/>
      <c r="AS1847" s="47"/>
      <c r="AT1847" s="47"/>
      <c r="AU1847" s="47"/>
      <c r="AV1847" s="47"/>
    </row>
    <row r="1848" spans="1:48" s="18" customFormat="1" ht="17.25" customHeight="1">
      <c r="A1848" s="50"/>
      <c r="B1848" s="117" t="s">
        <v>71</v>
      </c>
      <c r="C1848" s="64" t="s">
        <v>41</v>
      </c>
      <c r="D1848" s="51"/>
      <c r="E1848" s="51"/>
      <c r="F1848" s="51">
        <v>3</v>
      </c>
      <c r="G1848" s="51" t="s">
        <v>556</v>
      </c>
      <c r="H1848" s="51">
        <v>1</v>
      </c>
      <c r="I1848" s="51">
        <v>1</v>
      </c>
      <c r="J1848" s="51">
        <v>1</v>
      </c>
      <c r="K1848" s="51">
        <v>1</v>
      </c>
      <c r="L1848" s="40" t="s">
        <v>556</v>
      </c>
      <c r="M1848" s="40">
        <v>1</v>
      </c>
      <c r="N1848" s="40" t="s">
        <v>556</v>
      </c>
      <c r="O1848" s="40" t="s">
        <v>556</v>
      </c>
      <c r="P1848" s="40" t="s">
        <v>556</v>
      </c>
      <c r="Q1848" s="77"/>
      <c r="R1848" s="77"/>
      <c r="S1848" s="78"/>
      <c r="T1848" s="47"/>
      <c r="U1848" s="47"/>
      <c r="V1848" s="47"/>
      <c r="W1848" s="47"/>
      <c r="X1848" s="47"/>
      <c r="Y1848" s="47"/>
      <c r="Z1848" s="47"/>
      <c r="AA1848" s="47"/>
      <c r="AB1848" s="47"/>
      <c r="AC1848" s="47"/>
      <c r="AD1848" s="47"/>
      <c r="AE1848" s="47"/>
      <c r="AF1848" s="47"/>
      <c r="AG1848" s="47"/>
      <c r="AH1848" s="47"/>
      <c r="AI1848" s="47"/>
      <c r="AJ1848" s="47"/>
      <c r="AK1848" s="47"/>
      <c r="AL1848" s="47"/>
      <c r="AM1848" s="47"/>
      <c r="AN1848" s="47"/>
      <c r="AO1848" s="47"/>
      <c r="AP1848" s="47"/>
      <c r="AQ1848" s="47"/>
      <c r="AR1848" s="47"/>
      <c r="AS1848" s="47"/>
      <c r="AT1848" s="47"/>
      <c r="AU1848" s="47"/>
      <c r="AV1848" s="47"/>
    </row>
    <row r="1849" spans="1:48" s="18" customFormat="1" ht="17.25" customHeight="1">
      <c r="A1849" s="50"/>
      <c r="B1849" s="97" t="s">
        <v>637</v>
      </c>
      <c r="C1849" s="15" t="s">
        <v>638</v>
      </c>
      <c r="D1849" s="51"/>
      <c r="E1849" s="51"/>
      <c r="F1849" s="51"/>
      <c r="G1849" s="51">
        <v>1</v>
      </c>
      <c r="H1849" s="51">
        <v>1</v>
      </c>
      <c r="I1849" s="51">
        <v>2</v>
      </c>
      <c r="J1849" s="51">
        <v>2</v>
      </c>
      <c r="K1849" s="51">
        <v>2</v>
      </c>
      <c r="L1849" s="40">
        <v>1</v>
      </c>
      <c r="M1849" s="40" t="s">
        <v>556</v>
      </c>
      <c r="N1849" s="40">
        <v>1</v>
      </c>
      <c r="O1849" s="40" t="s">
        <v>556</v>
      </c>
      <c r="P1849" s="40" t="s">
        <v>556</v>
      </c>
      <c r="Q1849" s="77"/>
      <c r="R1849" s="77"/>
      <c r="S1849" s="78"/>
      <c r="T1849" s="47"/>
      <c r="U1849" s="47"/>
      <c r="V1849" s="47"/>
      <c r="W1849" s="47"/>
      <c r="X1849" s="47"/>
      <c r="Y1849" s="47"/>
      <c r="Z1849" s="47"/>
      <c r="AA1849" s="47"/>
      <c r="AB1849" s="47"/>
      <c r="AC1849" s="47"/>
      <c r="AD1849" s="47"/>
      <c r="AE1849" s="47"/>
      <c r="AF1849" s="47"/>
      <c r="AG1849" s="47"/>
      <c r="AH1849" s="47"/>
      <c r="AI1849" s="47"/>
      <c r="AJ1849" s="47"/>
      <c r="AK1849" s="47"/>
      <c r="AL1849" s="47"/>
      <c r="AM1849" s="47"/>
      <c r="AN1849" s="47"/>
      <c r="AO1849" s="47"/>
      <c r="AP1849" s="47"/>
      <c r="AQ1849" s="47"/>
      <c r="AR1849" s="47"/>
      <c r="AS1849" s="47"/>
      <c r="AT1849" s="47"/>
      <c r="AU1849" s="47"/>
      <c r="AV1849" s="47"/>
    </row>
    <row r="1850" spans="1:188" s="57" customFormat="1" ht="17.25" customHeight="1">
      <c r="A1850" s="13">
        <v>15</v>
      </c>
      <c r="B1850" s="92" t="s">
        <v>514</v>
      </c>
      <c r="C1850" s="45"/>
      <c r="D1850" s="44">
        <v>49</v>
      </c>
      <c r="E1850" s="44">
        <v>7</v>
      </c>
      <c r="F1850" s="44">
        <v>250</v>
      </c>
      <c r="G1850" s="44">
        <v>52</v>
      </c>
      <c r="H1850" s="44">
        <v>52</v>
      </c>
      <c r="I1850" s="44">
        <v>52</v>
      </c>
      <c r="J1850" s="44">
        <v>52</v>
      </c>
      <c r="K1850" s="44">
        <v>52</v>
      </c>
      <c r="L1850" s="44">
        <v>9</v>
      </c>
      <c r="M1850" s="40" t="s">
        <v>556</v>
      </c>
      <c r="N1850" s="40" t="s">
        <v>556</v>
      </c>
      <c r="O1850" s="40" t="s">
        <v>556</v>
      </c>
      <c r="P1850" s="40" t="s">
        <v>556</v>
      </c>
      <c r="Q1850" s="54" t="s">
        <v>648</v>
      </c>
      <c r="R1850" s="54">
        <v>2</v>
      </c>
      <c r="S1850" s="55" t="s">
        <v>443</v>
      </c>
      <c r="T1850" s="56"/>
      <c r="U1850" s="56"/>
      <c r="V1850" s="56"/>
      <c r="W1850" s="56"/>
      <c r="X1850" s="56"/>
      <c r="Y1850" s="56"/>
      <c r="Z1850" s="56"/>
      <c r="AA1850" s="56"/>
      <c r="AB1850" s="56"/>
      <c r="AC1850" s="56"/>
      <c r="AD1850" s="56"/>
      <c r="AE1850" s="56"/>
      <c r="AF1850" s="56"/>
      <c r="AG1850" s="56"/>
      <c r="AH1850" s="56"/>
      <c r="AI1850" s="56"/>
      <c r="AJ1850" s="56"/>
      <c r="AK1850" s="56"/>
      <c r="AL1850" s="56"/>
      <c r="AM1850" s="56"/>
      <c r="AN1850" s="56"/>
      <c r="AO1850" s="56"/>
      <c r="AP1850" s="56"/>
      <c r="AQ1850" s="56"/>
      <c r="AR1850" s="56"/>
      <c r="AS1850" s="56"/>
      <c r="AT1850" s="56"/>
      <c r="AU1850" s="56"/>
      <c r="AV1850" s="56"/>
      <c r="AW1850" s="56"/>
      <c r="AX1850" s="56"/>
      <c r="AY1850" s="56"/>
      <c r="AZ1850" s="56"/>
      <c r="BA1850" s="56"/>
      <c r="BB1850" s="56"/>
      <c r="BC1850" s="56"/>
      <c r="BD1850" s="56"/>
      <c r="BE1850" s="56"/>
      <c r="BF1850" s="56"/>
      <c r="BG1850" s="56"/>
      <c r="BH1850" s="56"/>
      <c r="BI1850" s="56"/>
      <c r="BJ1850" s="56"/>
      <c r="BK1850" s="56"/>
      <c r="BL1850" s="56"/>
      <c r="BM1850" s="56"/>
      <c r="BN1850" s="56"/>
      <c r="BO1850" s="56"/>
      <c r="BP1850" s="56"/>
      <c r="BQ1850" s="56"/>
      <c r="BR1850" s="56"/>
      <c r="BS1850" s="56"/>
      <c r="BT1850" s="56"/>
      <c r="BU1850" s="56"/>
      <c r="BV1850" s="56"/>
      <c r="BW1850" s="56"/>
      <c r="BX1850" s="56"/>
      <c r="BY1850" s="56"/>
      <c r="BZ1850" s="56"/>
      <c r="CA1850" s="56"/>
      <c r="CB1850" s="56"/>
      <c r="CC1850" s="56"/>
      <c r="CD1850" s="56"/>
      <c r="CE1850" s="56"/>
      <c r="CF1850" s="56"/>
      <c r="CG1850" s="56"/>
      <c r="CH1850" s="56"/>
      <c r="CI1850" s="56"/>
      <c r="CJ1850" s="56"/>
      <c r="CK1850" s="56"/>
      <c r="CL1850" s="56"/>
      <c r="CM1850" s="56"/>
      <c r="CN1850" s="56"/>
      <c r="CO1850" s="56"/>
      <c r="CP1850" s="56"/>
      <c r="CQ1850" s="56"/>
      <c r="CR1850" s="56"/>
      <c r="CS1850" s="56"/>
      <c r="CT1850" s="56"/>
      <c r="CU1850" s="56"/>
      <c r="CV1850" s="56"/>
      <c r="CW1850" s="56"/>
      <c r="CX1850" s="56"/>
      <c r="CY1850" s="56"/>
      <c r="CZ1850" s="56"/>
      <c r="DA1850" s="56"/>
      <c r="DB1850" s="56"/>
      <c r="DC1850" s="56"/>
      <c r="DD1850" s="56"/>
      <c r="DE1850" s="56"/>
      <c r="DF1850" s="56"/>
      <c r="DG1850" s="56"/>
      <c r="DH1850" s="56"/>
      <c r="DI1850" s="56"/>
      <c r="DJ1850" s="56"/>
      <c r="DK1850" s="56"/>
      <c r="DL1850" s="56"/>
      <c r="DM1850" s="56"/>
      <c r="DN1850" s="56"/>
      <c r="DO1850" s="56"/>
      <c r="DP1850" s="56"/>
      <c r="DQ1850" s="56"/>
      <c r="DR1850" s="56"/>
      <c r="DS1850" s="56"/>
      <c r="DT1850" s="56"/>
      <c r="DU1850" s="56"/>
      <c r="DV1850" s="56"/>
      <c r="DW1850" s="56"/>
      <c r="DX1850" s="56"/>
      <c r="DY1850" s="56"/>
      <c r="DZ1850" s="56"/>
      <c r="EA1850" s="56"/>
      <c r="EB1850" s="56"/>
      <c r="EC1850" s="56"/>
      <c r="ED1850" s="56"/>
      <c r="EE1850" s="56"/>
      <c r="EF1850" s="56"/>
      <c r="EG1850" s="56"/>
      <c r="EH1850" s="56"/>
      <c r="EI1850" s="56"/>
      <c r="EJ1850" s="56"/>
      <c r="EK1850" s="56"/>
      <c r="EL1850" s="56"/>
      <c r="EM1850" s="56"/>
      <c r="EN1850" s="56"/>
      <c r="EO1850" s="56"/>
      <c r="EP1850" s="56"/>
      <c r="EQ1850" s="56"/>
      <c r="ER1850" s="56"/>
      <c r="ES1850" s="56"/>
      <c r="ET1850" s="56"/>
      <c r="EU1850" s="56"/>
      <c r="EV1850" s="56"/>
      <c r="EW1850" s="56"/>
      <c r="EX1850" s="56"/>
      <c r="EY1850" s="56"/>
      <c r="EZ1850" s="56"/>
      <c r="FA1850" s="56"/>
      <c r="FB1850" s="56"/>
      <c r="FC1850" s="56"/>
      <c r="FD1850" s="56"/>
      <c r="FE1850" s="56"/>
      <c r="FF1850" s="56"/>
      <c r="FG1850" s="56"/>
      <c r="FH1850" s="56"/>
      <c r="FI1850" s="56"/>
      <c r="FJ1850" s="56"/>
      <c r="FK1850" s="56"/>
      <c r="FL1850" s="56"/>
      <c r="FM1850" s="56"/>
      <c r="FN1850" s="56"/>
      <c r="FO1850" s="56"/>
      <c r="FP1850" s="56"/>
      <c r="FQ1850" s="56"/>
      <c r="FR1850" s="56"/>
      <c r="FS1850" s="56"/>
      <c r="FT1850" s="56"/>
      <c r="FU1850" s="56"/>
      <c r="FV1850" s="56"/>
      <c r="FW1850" s="56"/>
      <c r="FX1850" s="56"/>
      <c r="FY1850" s="56"/>
      <c r="FZ1850" s="56"/>
      <c r="GA1850" s="56"/>
      <c r="GB1850" s="56"/>
      <c r="GC1850" s="56"/>
      <c r="GD1850" s="56"/>
      <c r="GE1850" s="56"/>
      <c r="GF1850" s="56"/>
    </row>
    <row r="1851" spans="1:48" s="18" customFormat="1" ht="17.25" customHeight="1">
      <c r="A1851" s="50"/>
      <c r="B1851" s="93" t="s">
        <v>669</v>
      </c>
      <c r="C1851" s="16"/>
      <c r="D1851" s="52"/>
      <c r="E1851" s="52"/>
      <c r="F1851" s="52"/>
      <c r="G1851" s="52"/>
      <c r="H1851" s="52"/>
      <c r="I1851" s="52"/>
      <c r="J1851" s="52"/>
      <c r="K1851" s="52"/>
      <c r="L1851" s="60">
        <f>SUM(L1852:L1858)</f>
        <v>8</v>
      </c>
      <c r="M1851" s="40" t="s">
        <v>556</v>
      </c>
      <c r="N1851" s="40" t="s">
        <v>556</v>
      </c>
      <c r="O1851" s="40" t="s">
        <v>556</v>
      </c>
      <c r="P1851" s="40" t="s">
        <v>556</v>
      </c>
      <c r="Q1851" s="23"/>
      <c r="R1851" s="23"/>
      <c r="S1851" s="17"/>
      <c r="T1851" s="47"/>
      <c r="U1851" s="47"/>
      <c r="V1851" s="47"/>
      <c r="W1851" s="47"/>
      <c r="X1851" s="47"/>
      <c r="Y1851" s="47"/>
      <c r="Z1851" s="47"/>
      <c r="AA1851" s="47"/>
      <c r="AB1851" s="47"/>
      <c r="AC1851" s="47"/>
      <c r="AD1851" s="47"/>
      <c r="AE1851" s="47"/>
      <c r="AF1851" s="47"/>
      <c r="AG1851" s="47"/>
      <c r="AH1851" s="47"/>
      <c r="AI1851" s="47"/>
      <c r="AJ1851" s="47"/>
      <c r="AK1851" s="47"/>
      <c r="AL1851" s="47"/>
      <c r="AM1851" s="47"/>
      <c r="AN1851" s="47"/>
      <c r="AO1851" s="47"/>
      <c r="AP1851" s="47"/>
      <c r="AQ1851" s="47"/>
      <c r="AR1851" s="47"/>
      <c r="AS1851" s="47"/>
      <c r="AT1851" s="47"/>
      <c r="AU1851" s="47"/>
      <c r="AV1851" s="47"/>
    </row>
    <row r="1852" spans="1:48" s="27" customFormat="1" ht="17.25" customHeight="1">
      <c r="A1852" s="12"/>
      <c r="B1852" s="97" t="s">
        <v>560</v>
      </c>
      <c r="C1852" s="29" t="s">
        <v>1319</v>
      </c>
      <c r="D1852" s="51"/>
      <c r="E1852" s="40"/>
      <c r="F1852" s="40">
        <v>3</v>
      </c>
      <c r="G1852" s="40">
        <v>12</v>
      </c>
      <c r="H1852" s="40">
        <v>12</v>
      </c>
      <c r="I1852" s="40">
        <v>12</v>
      </c>
      <c r="J1852" s="40">
        <v>12</v>
      </c>
      <c r="K1852" s="40">
        <v>12</v>
      </c>
      <c r="L1852" s="40">
        <v>1</v>
      </c>
      <c r="M1852" s="40" t="s">
        <v>556</v>
      </c>
      <c r="N1852" s="40" t="s">
        <v>556</v>
      </c>
      <c r="O1852" s="40" t="s">
        <v>556</v>
      </c>
      <c r="P1852" s="40" t="s">
        <v>556</v>
      </c>
      <c r="Q1852" s="30"/>
      <c r="R1852" s="30"/>
      <c r="S1852" s="30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</row>
    <row r="1853" spans="1:48" s="27" customFormat="1" ht="17.25" customHeight="1">
      <c r="A1853" s="12"/>
      <c r="B1853" s="105" t="s">
        <v>1303</v>
      </c>
      <c r="C1853" s="15">
        <v>15050334</v>
      </c>
      <c r="D1853" s="51"/>
      <c r="E1853" s="40"/>
      <c r="F1853" s="40"/>
      <c r="G1853" s="40">
        <v>1</v>
      </c>
      <c r="H1853" s="40">
        <v>1</v>
      </c>
      <c r="I1853" s="40">
        <v>1</v>
      </c>
      <c r="J1853" s="40">
        <v>1</v>
      </c>
      <c r="K1853" s="40">
        <v>1</v>
      </c>
      <c r="L1853" s="40">
        <v>1</v>
      </c>
      <c r="M1853" s="40" t="s">
        <v>556</v>
      </c>
      <c r="N1853" s="40" t="s">
        <v>556</v>
      </c>
      <c r="O1853" s="40" t="s">
        <v>556</v>
      </c>
      <c r="P1853" s="40" t="s">
        <v>556</v>
      </c>
      <c r="Q1853" s="30"/>
      <c r="R1853" s="30"/>
      <c r="S1853" s="30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</row>
    <row r="1854" spans="1:48" s="27" customFormat="1" ht="17.25" customHeight="1">
      <c r="A1854" s="12"/>
      <c r="B1854" s="97" t="s">
        <v>897</v>
      </c>
      <c r="C1854" s="15" t="s">
        <v>898</v>
      </c>
      <c r="D1854" s="51"/>
      <c r="E1854" s="40"/>
      <c r="F1854" s="40"/>
      <c r="G1854" s="40">
        <v>1</v>
      </c>
      <c r="H1854" s="40">
        <v>1</v>
      </c>
      <c r="I1854" s="40">
        <v>1</v>
      </c>
      <c r="J1854" s="40">
        <v>1</v>
      </c>
      <c r="K1854" s="40">
        <v>1</v>
      </c>
      <c r="L1854" s="40">
        <v>1</v>
      </c>
      <c r="M1854" s="40" t="s">
        <v>556</v>
      </c>
      <c r="N1854" s="40" t="s">
        <v>556</v>
      </c>
      <c r="O1854" s="40" t="s">
        <v>556</v>
      </c>
      <c r="P1854" s="40" t="s">
        <v>556</v>
      </c>
      <c r="Q1854" s="30"/>
      <c r="R1854" s="30"/>
      <c r="S1854" s="30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</row>
    <row r="1855" spans="1:48" s="27" customFormat="1" ht="17.25" customHeight="1">
      <c r="A1855" s="12"/>
      <c r="B1855" s="97" t="s">
        <v>1301</v>
      </c>
      <c r="C1855" s="29" t="s">
        <v>1302</v>
      </c>
      <c r="D1855" s="51"/>
      <c r="E1855" s="40"/>
      <c r="F1855" s="40"/>
      <c r="G1855" s="40">
        <v>1</v>
      </c>
      <c r="H1855" s="40">
        <v>1</v>
      </c>
      <c r="I1855" s="40">
        <v>1</v>
      </c>
      <c r="J1855" s="40">
        <v>1</v>
      </c>
      <c r="K1855" s="40">
        <v>1</v>
      </c>
      <c r="L1855" s="40">
        <v>1</v>
      </c>
      <c r="M1855" s="40" t="s">
        <v>556</v>
      </c>
      <c r="N1855" s="40" t="s">
        <v>556</v>
      </c>
      <c r="O1855" s="40" t="s">
        <v>556</v>
      </c>
      <c r="P1855" s="40" t="s">
        <v>556</v>
      </c>
      <c r="Q1855" s="30"/>
      <c r="R1855" s="30"/>
      <c r="S1855" s="30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</row>
    <row r="1856" spans="1:48" s="27" customFormat="1" ht="17.25" customHeight="1">
      <c r="A1856" s="12"/>
      <c r="B1856" s="105" t="s">
        <v>899</v>
      </c>
      <c r="C1856" s="15">
        <v>15050133</v>
      </c>
      <c r="D1856" s="51"/>
      <c r="E1856" s="40"/>
      <c r="F1856" s="40"/>
      <c r="G1856" s="40">
        <v>1</v>
      </c>
      <c r="H1856" s="40">
        <v>1</v>
      </c>
      <c r="I1856" s="40">
        <v>1</v>
      </c>
      <c r="J1856" s="40">
        <v>1</v>
      </c>
      <c r="K1856" s="40">
        <v>1</v>
      </c>
      <c r="L1856" s="40">
        <v>1</v>
      </c>
      <c r="M1856" s="40" t="s">
        <v>556</v>
      </c>
      <c r="N1856" s="40" t="s">
        <v>556</v>
      </c>
      <c r="O1856" s="40" t="s">
        <v>556</v>
      </c>
      <c r="P1856" s="40" t="s">
        <v>556</v>
      </c>
      <c r="Q1856" s="30"/>
      <c r="R1856" s="30"/>
      <c r="S1856" s="30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</row>
    <row r="1857" spans="1:48" s="27" customFormat="1" ht="17.25" customHeight="1">
      <c r="A1857" s="12"/>
      <c r="B1857" s="97" t="s">
        <v>1051</v>
      </c>
      <c r="C1857" s="29" t="s">
        <v>1052</v>
      </c>
      <c r="D1857" s="51"/>
      <c r="E1857" s="40"/>
      <c r="F1857" s="40"/>
      <c r="G1857" s="40">
        <v>12</v>
      </c>
      <c r="H1857" s="40">
        <v>12</v>
      </c>
      <c r="I1857" s="40">
        <v>12</v>
      </c>
      <c r="J1857" s="40">
        <v>12</v>
      </c>
      <c r="K1857" s="40">
        <v>12</v>
      </c>
      <c r="L1857" s="40">
        <v>2</v>
      </c>
      <c r="M1857" s="40" t="s">
        <v>556</v>
      </c>
      <c r="N1857" s="40" t="s">
        <v>556</v>
      </c>
      <c r="O1857" s="40" t="s">
        <v>556</v>
      </c>
      <c r="P1857" s="40" t="s">
        <v>556</v>
      </c>
      <c r="Q1857" s="30"/>
      <c r="R1857" s="30"/>
      <c r="S1857" s="30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</row>
    <row r="1858" spans="1:48" s="27" customFormat="1" ht="17.25" customHeight="1">
      <c r="A1858" s="12"/>
      <c r="B1858" s="97" t="s">
        <v>448</v>
      </c>
      <c r="C1858" s="29" t="s">
        <v>449</v>
      </c>
      <c r="D1858" s="51"/>
      <c r="E1858" s="40"/>
      <c r="F1858" s="40">
        <v>1</v>
      </c>
      <c r="G1858" s="40">
        <v>1</v>
      </c>
      <c r="H1858" s="40">
        <v>1</v>
      </c>
      <c r="I1858" s="40">
        <v>1</v>
      </c>
      <c r="J1858" s="40">
        <v>1</v>
      </c>
      <c r="K1858" s="40">
        <v>1</v>
      </c>
      <c r="L1858" s="40">
        <v>1</v>
      </c>
      <c r="M1858" s="40" t="s">
        <v>556</v>
      </c>
      <c r="N1858" s="40" t="s">
        <v>556</v>
      </c>
      <c r="O1858" s="40" t="s">
        <v>556</v>
      </c>
      <c r="P1858" s="40" t="s">
        <v>556</v>
      </c>
      <c r="Q1858" s="30"/>
      <c r="R1858" s="30"/>
      <c r="S1858" s="30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</row>
    <row r="1859" spans="1:48" s="18" customFormat="1" ht="17.25" customHeight="1">
      <c r="A1859" s="50"/>
      <c r="B1859" s="93" t="s">
        <v>37</v>
      </c>
      <c r="C1859" s="16"/>
      <c r="D1859" s="52"/>
      <c r="E1859" s="51"/>
      <c r="F1859" s="52"/>
      <c r="G1859" s="52"/>
      <c r="H1859" s="52"/>
      <c r="I1859" s="52"/>
      <c r="J1859" s="52"/>
      <c r="K1859" s="52"/>
      <c r="L1859" s="60">
        <f>L1860</f>
        <v>1</v>
      </c>
      <c r="M1859" s="60" t="str">
        <f>M1860</f>
        <v> -</v>
      </c>
      <c r="N1859" s="60"/>
      <c r="O1859" s="60" t="str">
        <f>O1860</f>
        <v> -</v>
      </c>
      <c r="P1859" s="60" t="str">
        <f>P1860</f>
        <v> -</v>
      </c>
      <c r="T1859" s="47"/>
      <c r="U1859" s="47"/>
      <c r="V1859" s="47"/>
      <c r="W1859" s="47"/>
      <c r="X1859" s="47"/>
      <c r="Y1859" s="47"/>
      <c r="Z1859" s="47"/>
      <c r="AA1859" s="47"/>
      <c r="AB1859" s="47"/>
      <c r="AC1859" s="47"/>
      <c r="AD1859" s="47"/>
      <c r="AE1859" s="47"/>
      <c r="AF1859" s="47"/>
      <c r="AG1859" s="47"/>
      <c r="AH1859" s="47"/>
      <c r="AI1859" s="47"/>
      <c r="AJ1859" s="47"/>
      <c r="AK1859" s="47"/>
      <c r="AL1859" s="47"/>
      <c r="AM1859" s="47"/>
      <c r="AN1859" s="47"/>
      <c r="AO1859" s="47"/>
      <c r="AP1859" s="47"/>
      <c r="AQ1859" s="47"/>
      <c r="AR1859" s="47"/>
      <c r="AS1859" s="47"/>
      <c r="AT1859" s="47"/>
      <c r="AU1859" s="47"/>
      <c r="AV1859" s="47"/>
    </row>
    <row r="1860" spans="1:48" s="27" customFormat="1" ht="17.25" customHeight="1">
      <c r="A1860" s="12"/>
      <c r="B1860" s="97" t="s">
        <v>38</v>
      </c>
      <c r="C1860" s="66" t="s">
        <v>457</v>
      </c>
      <c r="D1860" s="51"/>
      <c r="E1860" s="51"/>
      <c r="F1860" s="51"/>
      <c r="G1860" s="51">
        <v>2</v>
      </c>
      <c r="H1860" s="51">
        <v>2</v>
      </c>
      <c r="I1860" s="51">
        <v>2</v>
      </c>
      <c r="J1860" s="51">
        <v>2</v>
      </c>
      <c r="K1860" s="51">
        <v>2</v>
      </c>
      <c r="L1860" s="40">
        <v>1</v>
      </c>
      <c r="M1860" s="40" t="s">
        <v>556</v>
      </c>
      <c r="N1860" s="40" t="s">
        <v>556</v>
      </c>
      <c r="O1860" s="40" t="s">
        <v>556</v>
      </c>
      <c r="P1860" s="40" t="s">
        <v>556</v>
      </c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</row>
    <row r="1861" spans="1:188" s="57" customFormat="1" ht="17.25" customHeight="1">
      <c r="A1861" s="13">
        <v>16</v>
      </c>
      <c r="B1861" s="92" t="s">
        <v>961</v>
      </c>
      <c r="C1861" s="45"/>
      <c r="D1861" s="44">
        <v>61</v>
      </c>
      <c r="E1861" s="44">
        <v>12</v>
      </c>
      <c r="F1861" s="44">
        <v>250</v>
      </c>
      <c r="G1861" s="44">
        <v>52</v>
      </c>
      <c r="H1861" s="44">
        <v>52</v>
      </c>
      <c r="I1861" s="44">
        <v>52</v>
      </c>
      <c r="J1861" s="44">
        <v>52</v>
      </c>
      <c r="K1861" s="44">
        <v>52</v>
      </c>
      <c r="L1861" s="44">
        <v>8</v>
      </c>
      <c r="M1861" s="44">
        <v>2</v>
      </c>
      <c r="N1861" s="40" t="s">
        <v>556</v>
      </c>
      <c r="O1861" s="40" t="s">
        <v>556</v>
      </c>
      <c r="P1861" s="40" t="s">
        <v>556</v>
      </c>
      <c r="Q1861" s="54" t="s">
        <v>648</v>
      </c>
      <c r="R1861" s="54">
        <v>2</v>
      </c>
      <c r="S1861" s="55" t="s">
        <v>443</v>
      </c>
      <c r="T1861" s="56"/>
      <c r="U1861" s="56"/>
      <c r="V1861" s="56"/>
      <c r="W1861" s="56"/>
      <c r="X1861" s="56"/>
      <c r="Y1861" s="56"/>
      <c r="Z1861" s="56"/>
      <c r="AA1861" s="56"/>
      <c r="AB1861" s="56"/>
      <c r="AC1861" s="56"/>
      <c r="AD1861" s="56"/>
      <c r="AE1861" s="56"/>
      <c r="AF1861" s="56"/>
      <c r="AG1861" s="56"/>
      <c r="AH1861" s="56"/>
      <c r="AI1861" s="56"/>
      <c r="AJ1861" s="56"/>
      <c r="AK1861" s="56"/>
      <c r="AL1861" s="56"/>
      <c r="AM1861" s="56"/>
      <c r="AN1861" s="56"/>
      <c r="AO1861" s="56"/>
      <c r="AP1861" s="56"/>
      <c r="AQ1861" s="56"/>
      <c r="AR1861" s="56"/>
      <c r="AS1861" s="56"/>
      <c r="AT1861" s="56"/>
      <c r="AU1861" s="56"/>
      <c r="AV1861" s="56"/>
      <c r="AW1861" s="56"/>
      <c r="AX1861" s="56"/>
      <c r="AY1861" s="56"/>
      <c r="AZ1861" s="56"/>
      <c r="BA1861" s="56"/>
      <c r="BB1861" s="56"/>
      <c r="BC1861" s="56"/>
      <c r="BD1861" s="56"/>
      <c r="BE1861" s="56"/>
      <c r="BF1861" s="56"/>
      <c r="BG1861" s="56"/>
      <c r="BH1861" s="56"/>
      <c r="BI1861" s="56"/>
      <c r="BJ1861" s="56"/>
      <c r="BK1861" s="56"/>
      <c r="BL1861" s="56"/>
      <c r="BM1861" s="56"/>
      <c r="BN1861" s="56"/>
      <c r="BO1861" s="56"/>
      <c r="BP1861" s="56"/>
      <c r="BQ1861" s="56"/>
      <c r="BR1861" s="56"/>
      <c r="BS1861" s="56"/>
      <c r="BT1861" s="56"/>
      <c r="BU1861" s="56"/>
      <c r="BV1861" s="56"/>
      <c r="BW1861" s="56"/>
      <c r="BX1861" s="56"/>
      <c r="BY1861" s="56"/>
      <c r="BZ1861" s="56"/>
      <c r="CA1861" s="56"/>
      <c r="CB1861" s="56"/>
      <c r="CC1861" s="56"/>
      <c r="CD1861" s="56"/>
      <c r="CE1861" s="56"/>
      <c r="CF1861" s="56"/>
      <c r="CG1861" s="56"/>
      <c r="CH1861" s="56"/>
      <c r="CI1861" s="56"/>
      <c r="CJ1861" s="56"/>
      <c r="CK1861" s="56"/>
      <c r="CL1861" s="56"/>
      <c r="CM1861" s="56"/>
      <c r="CN1861" s="56"/>
      <c r="CO1861" s="56"/>
      <c r="CP1861" s="56"/>
      <c r="CQ1861" s="56"/>
      <c r="CR1861" s="56"/>
      <c r="CS1861" s="56"/>
      <c r="CT1861" s="56"/>
      <c r="CU1861" s="56"/>
      <c r="CV1861" s="56"/>
      <c r="CW1861" s="56"/>
      <c r="CX1861" s="56"/>
      <c r="CY1861" s="56"/>
      <c r="CZ1861" s="56"/>
      <c r="DA1861" s="56"/>
      <c r="DB1861" s="56"/>
      <c r="DC1861" s="56"/>
      <c r="DD1861" s="56"/>
      <c r="DE1861" s="56"/>
      <c r="DF1861" s="56"/>
      <c r="DG1861" s="56"/>
      <c r="DH1861" s="56"/>
      <c r="DI1861" s="56"/>
      <c r="DJ1861" s="56"/>
      <c r="DK1861" s="56"/>
      <c r="DL1861" s="56"/>
      <c r="DM1861" s="56"/>
      <c r="DN1861" s="56"/>
      <c r="DO1861" s="56"/>
      <c r="DP1861" s="56"/>
      <c r="DQ1861" s="56"/>
      <c r="DR1861" s="56"/>
      <c r="DS1861" s="56"/>
      <c r="DT1861" s="56"/>
      <c r="DU1861" s="56"/>
      <c r="DV1861" s="56"/>
      <c r="DW1861" s="56"/>
      <c r="DX1861" s="56"/>
      <c r="DY1861" s="56"/>
      <c r="DZ1861" s="56"/>
      <c r="EA1861" s="56"/>
      <c r="EB1861" s="56"/>
      <c r="EC1861" s="56"/>
      <c r="ED1861" s="56"/>
      <c r="EE1861" s="56"/>
      <c r="EF1861" s="56"/>
      <c r="EG1861" s="56"/>
      <c r="EH1861" s="56"/>
      <c r="EI1861" s="56"/>
      <c r="EJ1861" s="56"/>
      <c r="EK1861" s="56"/>
      <c r="EL1861" s="56"/>
      <c r="EM1861" s="56"/>
      <c r="EN1861" s="56"/>
      <c r="EO1861" s="56"/>
      <c r="EP1861" s="56"/>
      <c r="EQ1861" s="56"/>
      <c r="ER1861" s="56"/>
      <c r="ES1861" s="56"/>
      <c r="ET1861" s="56"/>
      <c r="EU1861" s="56"/>
      <c r="EV1861" s="56"/>
      <c r="EW1861" s="56"/>
      <c r="EX1861" s="56"/>
      <c r="EY1861" s="56"/>
      <c r="EZ1861" s="56"/>
      <c r="FA1861" s="56"/>
      <c r="FB1861" s="56"/>
      <c r="FC1861" s="56"/>
      <c r="FD1861" s="56"/>
      <c r="FE1861" s="56"/>
      <c r="FF1861" s="56"/>
      <c r="FG1861" s="56"/>
      <c r="FH1861" s="56"/>
      <c r="FI1861" s="56"/>
      <c r="FJ1861" s="56"/>
      <c r="FK1861" s="56"/>
      <c r="FL1861" s="56"/>
      <c r="FM1861" s="56"/>
      <c r="FN1861" s="56"/>
      <c r="FO1861" s="56"/>
      <c r="FP1861" s="56"/>
      <c r="FQ1861" s="56"/>
      <c r="FR1861" s="56"/>
      <c r="FS1861" s="56"/>
      <c r="FT1861" s="56"/>
      <c r="FU1861" s="56"/>
      <c r="FV1861" s="56"/>
      <c r="FW1861" s="56"/>
      <c r="FX1861" s="56"/>
      <c r="FY1861" s="56"/>
      <c r="FZ1861" s="56"/>
      <c r="GA1861" s="56"/>
      <c r="GB1861" s="56"/>
      <c r="GC1861" s="56"/>
      <c r="GD1861" s="56"/>
      <c r="GE1861" s="56"/>
      <c r="GF1861" s="56"/>
    </row>
    <row r="1862" spans="1:48" s="18" customFormat="1" ht="17.25" customHeight="1">
      <c r="A1862" s="50"/>
      <c r="B1862" s="93" t="s">
        <v>669</v>
      </c>
      <c r="C1862" s="16"/>
      <c r="D1862" s="52"/>
      <c r="E1862" s="52"/>
      <c r="F1862" s="52"/>
      <c r="G1862" s="52"/>
      <c r="H1862" s="52"/>
      <c r="I1862" s="52"/>
      <c r="J1862" s="52"/>
      <c r="K1862" s="52"/>
      <c r="L1862" s="60">
        <v>7</v>
      </c>
      <c r="M1862" s="40" t="s">
        <v>556</v>
      </c>
      <c r="N1862" s="40" t="s">
        <v>556</v>
      </c>
      <c r="O1862" s="40" t="s">
        <v>556</v>
      </c>
      <c r="P1862" s="40" t="s">
        <v>556</v>
      </c>
      <c r="Q1862" s="23"/>
      <c r="R1862" s="23"/>
      <c r="S1862" s="17"/>
      <c r="T1862" s="47"/>
      <c r="U1862" s="47"/>
      <c r="V1862" s="47"/>
      <c r="W1862" s="47"/>
      <c r="X1862" s="47"/>
      <c r="Y1862" s="47"/>
      <c r="Z1862" s="47"/>
      <c r="AA1862" s="47"/>
      <c r="AB1862" s="47"/>
      <c r="AC1862" s="47"/>
      <c r="AD1862" s="47"/>
      <c r="AE1862" s="47"/>
      <c r="AF1862" s="47"/>
      <c r="AG1862" s="47"/>
      <c r="AH1862" s="47"/>
      <c r="AI1862" s="47"/>
      <c r="AJ1862" s="47"/>
      <c r="AK1862" s="47"/>
      <c r="AL1862" s="47"/>
      <c r="AM1862" s="47"/>
      <c r="AN1862" s="47"/>
      <c r="AO1862" s="47"/>
      <c r="AP1862" s="47"/>
      <c r="AQ1862" s="47"/>
      <c r="AR1862" s="47"/>
      <c r="AS1862" s="47"/>
      <c r="AT1862" s="47"/>
      <c r="AU1862" s="47"/>
      <c r="AV1862" s="47"/>
    </row>
    <row r="1863" spans="1:48" s="27" customFormat="1" ht="17.25" customHeight="1">
      <c r="A1863" s="12"/>
      <c r="B1863" s="97" t="s">
        <v>607</v>
      </c>
      <c r="C1863" s="29" t="s">
        <v>608</v>
      </c>
      <c r="D1863" s="51"/>
      <c r="E1863" s="40"/>
      <c r="F1863" s="40">
        <v>3</v>
      </c>
      <c r="G1863" s="40">
        <v>12</v>
      </c>
      <c r="H1863" s="40">
        <v>12</v>
      </c>
      <c r="I1863" s="40">
        <v>12</v>
      </c>
      <c r="J1863" s="40">
        <v>12</v>
      </c>
      <c r="K1863" s="40">
        <v>12</v>
      </c>
      <c r="L1863" s="40">
        <v>5</v>
      </c>
      <c r="M1863" s="40" t="s">
        <v>556</v>
      </c>
      <c r="N1863" s="40" t="s">
        <v>556</v>
      </c>
      <c r="O1863" s="40" t="s">
        <v>556</v>
      </c>
      <c r="P1863" s="40" t="s">
        <v>556</v>
      </c>
      <c r="Q1863" s="30"/>
      <c r="R1863" s="30"/>
      <c r="S1863" s="30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</row>
    <row r="1864" spans="1:48" s="27" customFormat="1" ht="17.25" customHeight="1">
      <c r="A1864" s="12"/>
      <c r="B1864" s="97" t="s">
        <v>564</v>
      </c>
      <c r="C1864" s="29" t="s">
        <v>565</v>
      </c>
      <c r="D1864" s="51"/>
      <c r="E1864" s="40"/>
      <c r="F1864" s="40"/>
      <c r="G1864" s="40">
        <v>1</v>
      </c>
      <c r="H1864" s="40">
        <v>1</v>
      </c>
      <c r="I1864" s="40">
        <v>1</v>
      </c>
      <c r="J1864" s="40">
        <v>1</v>
      </c>
      <c r="K1864" s="40">
        <v>1</v>
      </c>
      <c r="L1864" s="40">
        <v>2</v>
      </c>
      <c r="M1864" s="40" t="s">
        <v>556</v>
      </c>
      <c r="N1864" s="40" t="s">
        <v>556</v>
      </c>
      <c r="O1864" s="40" t="s">
        <v>556</v>
      </c>
      <c r="P1864" s="40" t="s">
        <v>556</v>
      </c>
      <c r="Q1864" s="30"/>
      <c r="R1864" s="30"/>
      <c r="S1864" s="30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</row>
    <row r="1865" spans="1:48" s="18" customFormat="1" ht="17.25" customHeight="1">
      <c r="A1865" s="50"/>
      <c r="B1865" s="93" t="s">
        <v>670</v>
      </c>
      <c r="C1865" s="16"/>
      <c r="D1865" s="52"/>
      <c r="E1865" s="51"/>
      <c r="F1865" s="52"/>
      <c r="G1865" s="52"/>
      <c r="H1865" s="52"/>
      <c r="I1865" s="52"/>
      <c r="J1865" s="52"/>
      <c r="K1865" s="52"/>
      <c r="L1865" s="60">
        <f>SUM(L1866:L1868)</f>
        <v>1</v>
      </c>
      <c r="M1865" s="60">
        <f>SUM(M1866:M1868)</f>
        <v>2</v>
      </c>
      <c r="N1865" s="60"/>
      <c r="O1865" s="60" t="str">
        <f>O1866</f>
        <v> -</v>
      </c>
      <c r="P1865" s="60" t="str">
        <f>P1866</f>
        <v> -</v>
      </c>
      <c r="T1865" s="47"/>
      <c r="U1865" s="47"/>
      <c r="V1865" s="47"/>
      <c r="W1865" s="47"/>
      <c r="X1865" s="47"/>
      <c r="Y1865" s="47"/>
      <c r="Z1865" s="47"/>
      <c r="AA1865" s="47"/>
      <c r="AB1865" s="47"/>
      <c r="AC1865" s="47"/>
      <c r="AD1865" s="47"/>
      <c r="AE1865" s="47"/>
      <c r="AF1865" s="47"/>
      <c r="AG1865" s="47"/>
      <c r="AH1865" s="47"/>
      <c r="AI1865" s="47"/>
      <c r="AJ1865" s="47"/>
      <c r="AK1865" s="47"/>
      <c r="AL1865" s="47"/>
      <c r="AM1865" s="47"/>
      <c r="AN1865" s="47"/>
      <c r="AO1865" s="47"/>
      <c r="AP1865" s="47"/>
      <c r="AQ1865" s="47"/>
      <c r="AR1865" s="47"/>
      <c r="AS1865" s="47"/>
      <c r="AT1865" s="47"/>
      <c r="AU1865" s="47"/>
      <c r="AV1865" s="47"/>
    </row>
    <row r="1866" spans="1:48" s="27" customFormat="1" ht="17.25" customHeight="1">
      <c r="A1866" s="12"/>
      <c r="B1866" s="97" t="s">
        <v>566</v>
      </c>
      <c r="C1866" s="66" t="s">
        <v>457</v>
      </c>
      <c r="D1866" s="51"/>
      <c r="E1866" s="51"/>
      <c r="F1866" s="51"/>
      <c r="G1866" s="51">
        <v>2</v>
      </c>
      <c r="H1866" s="51">
        <v>2</v>
      </c>
      <c r="I1866" s="51">
        <v>2</v>
      </c>
      <c r="J1866" s="51">
        <v>2</v>
      </c>
      <c r="K1866" s="51">
        <v>2</v>
      </c>
      <c r="L1866" s="40" t="s">
        <v>556</v>
      </c>
      <c r="M1866" s="40">
        <v>1</v>
      </c>
      <c r="N1866" s="40" t="s">
        <v>556</v>
      </c>
      <c r="O1866" s="40" t="s">
        <v>556</v>
      </c>
      <c r="P1866" s="40" t="s">
        <v>556</v>
      </c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</row>
    <row r="1867" spans="1:48" s="27" customFormat="1" ht="17.25" customHeight="1">
      <c r="A1867" s="12"/>
      <c r="B1867" s="97" t="s">
        <v>561</v>
      </c>
      <c r="C1867" s="66" t="s">
        <v>804</v>
      </c>
      <c r="D1867" s="51"/>
      <c r="E1867" s="51"/>
      <c r="F1867" s="51"/>
      <c r="G1867" s="51"/>
      <c r="H1867" s="51"/>
      <c r="I1867" s="51"/>
      <c r="J1867" s="51"/>
      <c r="K1867" s="51"/>
      <c r="L1867" s="40" t="s">
        <v>556</v>
      </c>
      <c r="M1867" s="40">
        <v>1</v>
      </c>
      <c r="N1867" s="40" t="s">
        <v>556</v>
      </c>
      <c r="O1867" s="40" t="s">
        <v>556</v>
      </c>
      <c r="P1867" s="40" t="s">
        <v>556</v>
      </c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</row>
    <row r="1868" spans="1:48" s="27" customFormat="1" ht="17.25" customHeight="1">
      <c r="A1868" s="12"/>
      <c r="B1868" s="97" t="s">
        <v>84</v>
      </c>
      <c r="C1868" s="15" t="s">
        <v>85</v>
      </c>
      <c r="D1868" s="51"/>
      <c r="E1868" s="51"/>
      <c r="F1868" s="51"/>
      <c r="G1868" s="51"/>
      <c r="H1868" s="51"/>
      <c r="I1868" s="51"/>
      <c r="J1868" s="51"/>
      <c r="K1868" s="51"/>
      <c r="L1868" s="40">
        <v>1</v>
      </c>
      <c r="M1868" s="40" t="s">
        <v>556</v>
      </c>
      <c r="N1868" s="40" t="s">
        <v>556</v>
      </c>
      <c r="O1868" s="40" t="s">
        <v>556</v>
      </c>
      <c r="P1868" s="40" t="s">
        <v>556</v>
      </c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</row>
    <row r="1869" spans="1:188" s="57" customFormat="1" ht="17.25" customHeight="1">
      <c r="A1869" s="13">
        <v>17</v>
      </c>
      <c r="B1869" s="92" t="s">
        <v>962</v>
      </c>
      <c r="C1869" s="45"/>
      <c r="D1869" s="44">
        <v>46</v>
      </c>
      <c r="E1869" s="44">
        <v>3</v>
      </c>
      <c r="F1869" s="44">
        <v>250</v>
      </c>
      <c r="G1869" s="44">
        <v>52</v>
      </c>
      <c r="H1869" s="44">
        <v>52</v>
      </c>
      <c r="I1869" s="44">
        <v>52</v>
      </c>
      <c r="J1869" s="44">
        <v>52</v>
      </c>
      <c r="K1869" s="44">
        <v>52</v>
      </c>
      <c r="L1869" s="44">
        <f>L1870+L1873</f>
        <v>4</v>
      </c>
      <c r="M1869" s="44">
        <f>M1870+M1873</f>
        <v>3</v>
      </c>
      <c r="N1869" s="44">
        <f>N1870+N1873</f>
        <v>4</v>
      </c>
      <c r="O1869" s="44">
        <f>O1870+O1873</f>
        <v>3</v>
      </c>
      <c r="P1869" s="44">
        <f>P1870+P1873</f>
        <v>4</v>
      </c>
      <c r="Q1869" s="54" t="s">
        <v>648</v>
      </c>
      <c r="R1869" s="54">
        <v>2</v>
      </c>
      <c r="S1869" s="55" t="s">
        <v>443</v>
      </c>
      <c r="T1869" s="56"/>
      <c r="U1869" s="56"/>
      <c r="V1869" s="56"/>
      <c r="W1869" s="56"/>
      <c r="X1869" s="56"/>
      <c r="Y1869" s="56"/>
      <c r="Z1869" s="56"/>
      <c r="AA1869" s="56"/>
      <c r="AB1869" s="56"/>
      <c r="AC1869" s="56"/>
      <c r="AD1869" s="56"/>
      <c r="AE1869" s="56"/>
      <c r="AF1869" s="56"/>
      <c r="AG1869" s="56"/>
      <c r="AH1869" s="56"/>
      <c r="AI1869" s="56"/>
      <c r="AJ1869" s="56"/>
      <c r="AK1869" s="56"/>
      <c r="AL1869" s="56"/>
      <c r="AM1869" s="56"/>
      <c r="AN1869" s="56"/>
      <c r="AO1869" s="56"/>
      <c r="AP1869" s="56"/>
      <c r="AQ1869" s="56"/>
      <c r="AR1869" s="56"/>
      <c r="AS1869" s="56"/>
      <c r="AT1869" s="56"/>
      <c r="AU1869" s="56"/>
      <c r="AV1869" s="56"/>
      <c r="AW1869" s="56"/>
      <c r="AX1869" s="56"/>
      <c r="AY1869" s="56"/>
      <c r="AZ1869" s="56"/>
      <c r="BA1869" s="56"/>
      <c r="BB1869" s="56"/>
      <c r="BC1869" s="56"/>
      <c r="BD1869" s="56"/>
      <c r="BE1869" s="56"/>
      <c r="BF1869" s="56"/>
      <c r="BG1869" s="56"/>
      <c r="BH1869" s="56"/>
      <c r="BI1869" s="56"/>
      <c r="BJ1869" s="56"/>
      <c r="BK1869" s="56"/>
      <c r="BL1869" s="56"/>
      <c r="BM1869" s="56"/>
      <c r="BN1869" s="56"/>
      <c r="BO1869" s="56"/>
      <c r="BP1869" s="56"/>
      <c r="BQ1869" s="56"/>
      <c r="BR1869" s="56"/>
      <c r="BS1869" s="56"/>
      <c r="BT1869" s="56"/>
      <c r="BU1869" s="56"/>
      <c r="BV1869" s="56"/>
      <c r="BW1869" s="56"/>
      <c r="BX1869" s="56"/>
      <c r="BY1869" s="56"/>
      <c r="BZ1869" s="56"/>
      <c r="CA1869" s="56"/>
      <c r="CB1869" s="56"/>
      <c r="CC1869" s="56"/>
      <c r="CD1869" s="56"/>
      <c r="CE1869" s="56"/>
      <c r="CF1869" s="56"/>
      <c r="CG1869" s="56"/>
      <c r="CH1869" s="56"/>
      <c r="CI1869" s="56"/>
      <c r="CJ1869" s="56"/>
      <c r="CK1869" s="56"/>
      <c r="CL1869" s="56"/>
      <c r="CM1869" s="56"/>
      <c r="CN1869" s="56"/>
      <c r="CO1869" s="56"/>
      <c r="CP1869" s="56"/>
      <c r="CQ1869" s="56"/>
      <c r="CR1869" s="56"/>
      <c r="CS1869" s="56"/>
      <c r="CT1869" s="56"/>
      <c r="CU1869" s="56"/>
      <c r="CV1869" s="56"/>
      <c r="CW1869" s="56"/>
      <c r="CX1869" s="56"/>
      <c r="CY1869" s="56"/>
      <c r="CZ1869" s="56"/>
      <c r="DA1869" s="56"/>
      <c r="DB1869" s="56"/>
      <c r="DC1869" s="56"/>
      <c r="DD1869" s="56"/>
      <c r="DE1869" s="56"/>
      <c r="DF1869" s="56"/>
      <c r="DG1869" s="56"/>
      <c r="DH1869" s="56"/>
      <c r="DI1869" s="56"/>
      <c r="DJ1869" s="56"/>
      <c r="DK1869" s="56"/>
      <c r="DL1869" s="56"/>
      <c r="DM1869" s="56"/>
      <c r="DN1869" s="56"/>
      <c r="DO1869" s="56"/>
      <c r="DP1869" s="56"/>
      <c r="DQ1869" s="56"/>
      <c r="DR1869" s="56"/>
      <c r="DS1869" s="56"/>
      <c r="DT1869" s="56"/>
      <c r="DU1869" s="56"/>
      <c r="DV1869" s="56"/>
      <c r="DW1869" s="56"/>
      <c r="DX1869" s="56"/>
      <c r="DY1869" s="56"/>
      <c r="DZ1869" s="56"/>
      <c r="EA1869" s="56"/>
      <c r="EB1869" s="56"/>
      <c r="EC1869" s="56"/>
      <c r="ED1869" s="56"/>
      <c r="EE1869" s="56"/>
      <c r="EF1869" s="56"/>
      <c r="EG1869" s="56"/>
      <c r="EH1869" s="56"/>
      <c r="EI1869" s="56"/>
      <c r="EJ1869" s="56"/>
      <c r="EK1869" s="56"/>
      <c r="EL1869" s="56"/>
      <c r="EM1869" s="56"/>
      <c r="EN1869" s="56"/>
      <c r="EO1869" s="56"/>
      <c r="EP1869" s="56"/>
      <c r="EQ1869" s="56"/>
      <c r="ER1869" s="56"/>
      <c r="ES1869" s="56"/>
      <c r="ET1869" s="56"/>
      <c r="EU1869" s="56"/>
      <c r="EV1869" s="56"/>
      <c r="EW1869" s="56"/>
      <c r="EX1869" s="56"/>
      <c r="EY1869" s="56"/>
      <c r="EZ1869" s="56"/>
      <c r="FA1869" s="56"/>
      <c r="FB1869" s="56"/>
      <c r="FC1869" s="56"/>
      <c r="FD1869" s="56"/>
      <c r="FE1869" s="56"/>
      <c r="FF1869" s="56"/>
      <c r="FG1869" s="56"/>
      <c r="FH1869" s="56"/>
      <c r="FI1869" s="56"/>
      <c r="FJ1869" s="56"/>
      <c r="FK1869" s="56"/>
      <c r="FL1869" s="56"/>
      <c r="FM1869" s="56"/>
      <c r="FN1869" s="56"/>
      <c r="FO1869" s="56"/>
      <c r="FP1869" s="56"/>
      <c r="FQ1869" s="56"/>
      <c r="FR1869" s="56"/>
      <c r="FS1869" s="56"/>
      <c r="FT1869" s="56"/>
      <c r="FU1869" s="56"/>
      <c r="FV1869" s="56"/>
      <c r="FW1869" s="56"/>
      <c r="FX1869" s="56"/>
      <c r="FY1869" s="56"/>
      <c r="FZ1869" s="56"/>
      <c r="GA1869" s="56"/>
      <c r="GB1869" s="56"/>
      <c r="GC1869" s="56"/>
      <c r="GD1869" s="56"/>
      <c r="GE1869" s="56"/>
      <c r="GF1869" s="56"/>
    </row>
    <row r="1870" spans="1:48" s="18" customFormat="1" ht="17.25" customHeight="1">
      <c r="A1870" s="50"/>
      <c r="B1870" s="93" t="s">
        <v>669</v>
      </c>
      <c r="C1870" s="16"/>
      <c r="D1870" s="52"/>
      <c r="E1870" s="52"/>
      <c r="F1870" s="52"/>
      <c r="G1870" s="52"/>
      <c r="H1870" s="52"/>
      <c r="I1870" s="52"/>
      <c r="J1870" s="52"/>
      <c r="K1870" s="52"/>
      <c r="L1870" s="60">
        <v>2</v>
      </c>
      <c r="M1870" s="60">
        <v>2</v>
      </c>
      <c r="N1870" s="60">
        <v>2</v>
      </c>
      <c r="O1870" s="60">
        <v>2</v>
      </c>
      <c r="P1870" s="60">
        <v>2</v>
      </c>
      <c r="Q1870" s="23"/>
      <c r="R1870" s="23"/>
      <c r="S1870" s="17"/>
      <c r="T1870" s="47"/>
      <c r="U1870" s="47"/>
      <c r="V1870" s="47"/>
      <c r="W1870" s="47"/>
      <c r="X1870" s="47"/>
      <c r="Y1870" s="47"/>
      <c r="Z1870" s="47"/>
      <c r="AA1870" s="47"/>
      <c r="AB1870" s="47"/>
      <c r="AC1870" s="47"/>
      <c r="AD1870" s="47"/>
      <c r="AE1870" s="47"/>
      <c r="AF1870" s="47"/>
      <c r="AG1870" s="47"/>
      <c r="AH1870" s="47"/>
      <c r="AI1870" s="47"/>
      <c r="AJ1870" s="47"/>
      <c r="AK1870" s="47"/>
      <c r="AL1870" s="47"/>
      <c r="AM1870" s="47"/>
      <c r="AN1870" s="47"/>
      <c r="AO1870" s="47"/>
      <c r="AP1870" s="47"/>
      <c r="AQ1870" s="47"/>
      <c r="AR1870" s="47"/>
      <c r="AS1870" s="47"/>
      <c r="AT1870" s="47"/>
      <c r="AU1870" s="47"/>
      <c r="AV1870" s="47"/>
    </row>
    <row r="1871" spans="1:48" s="27" customFormat="1" ht="17.25" customHeight="1">
      <c r="A1871" s="12"/>
      <c r="B1871" s="97" t="s">
        <v>644</v>
      </c>
      <c r="C1871" s="29" t="s">
        <v>645</v>
      </c>
      <c r="D1871" s="51"/>
      <c r="E1871" s="40"/>
      <c r="F1871" s="40">
        <v>3</v>
      </c>
      <c r="G1871" s="40">
        <v>12</v>
      </c>
      <c r="H1871" s="40">
        <v>12</v>
      </c>
      <c r="I1871" s="40">
        <v>12</v>
      </c>
      <c r="J1871" s="40">
        <v>12</v>
      </c>
      <c r="K1871" s="40">
        <v>12</v>
      </c>
      <c r="L1871" s="40">
        <v>1</v>
      </c>
      <c r="M1871" s="40">
        <v>1</v>
      </c>
      <c r="N1871" s="40">
        <v>1</v>
      </c>
      <c r="O1871" s="40">
        <v>1</v>
      </c>
      <c r="P1871" s="40">
        <v>1</v>
      </c>
      <c r="Q1871" s="30"/>
      <c r="R1871" s="30"/>
      <c r="S1871" s="30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</row>
    <row r="1872" spans="1:48" s="27" customFormat="1" ht="17.25" customHeight="1">
      <c r="A1872" s="12"/>
      <c r="B1872" s="105" t="s">
        <v>18</v>
      </c>
      <c r="C1872" s="15" t="s">
        <v>19</v>
      </c>
      <c r="D1872" s="51"/>
      <c r="E1872" s="40"/>
      <c r="F1872" s="40"/>
      <c r="G1872" s="40">
        <v>1</v>
      </c>
      <c r="H1872" s="40">
        <v>1</v>
      </c>
      <c r="I1872" s="40">
        <v>1</v>
      </c>
      <c r="J1872" s="40">
        <v>1</v>
      </c>
      <c r="K1872" s="40">
        <v>1</v>
      </c>
      <c r="L1872" s="40">
        <v>1</v>
      </c>
      <c r="M1872" s="40">
        <v>1</v>
      </c>
      <c r="N1872" s="40">
        <v>1</v>
      </c>
      <c r="O1872" s="40">
        <v>1</v>
      </c>
      <c r="P1872" s="40">
        <v>1</v>
      </c>
      <c r="Q1872" s="30"/>
      <c r="R1872" s="30"/>
      <c r="S1872" s="30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</row>
    <row r="1873" spans="1:48" s="18" customFormat="1" ht="17.25" customHeight="1">
      <c r="A1873" s="50"/>
      <c r="B1873" s="93" t="s">
        <v>670</v>
      </c>
      <c r="C1873" s="16"/>
      <c r="D1873" s="52"/>
      <c r="E1873" s="51"/>
      <c r="F1873" s="52"/>
      <c r="G1873" s="52"/>
      <c r="H1873" s="52"/>
      <c r="I1873" s="52"/>
      <c r="J1873" s="52"/>
      <c r="K1873" s="52"/>
      <c r="L1873" s="60">
        <f>SUM(L1874:L1875)</f>
        <v>2</v>
      </c>
      <c r="M1873" s="60">
        <f>SUM(M1874:M1875)</f>
        <v>1</v>
      </c>
      <c r="N1873" s="60">
        <f>SUM(N1874:N1875)</f>
        <v>2</v>
      </c>
      <c r="O1873" s="60">
        <f>SUM(O1874:O1875)</f>
        <v>1</v>
      </c>
      <c r="P1873" s="60">
        <f>SUM(P1874:P1875)</f>
        <v>2</v>
      </c>
      <c r="T1873" s="47"/>
      <c r="U1873" s="47"/>
      <c r="V1873" s="47"/>
      <c r="W1873" s="47"/>
      <c r="X1873" s="47"/>
      <c r="Y1873" s="47"/>
      <c r="Z1873" s="47"/>
      <c r="AA1873" s="47"/>
      <c r="AB1873" s="47"/>
      <c r="AC1873" s="47"/>
      <c r="AD1873" s="47"/>
      <c r="AE1873" s="47"/>
      <c r="AF1873" s="47"/>
      <c r="AG1873" s="47"/>
      <c r="AH1873" s="47"/>
      <c r="AI1873" s="47"/>
      <c r="AJ1873" s="47"/>
      <c r="AK1873" s="47"/>
      <c r="AL1873" s="47"/>
      <c r="AM1873" s="47"/>
      <c r="AN1873" s="47"/>
      <c r="AO1873" s="47"/>
      <c r="AP1873" s="47"/>
      <c r="AQ1873" s="47"/>
      <c r="AR1873" s="47"/>
      <c r="AS1873" s="47"/>
      <c r="AT1873" s="47"/>
      <c r="AU1873" s="47"/>
      <c r="AV1873" s="47"/>
    </row>
    <row r="1874" spans="1:48" s="27" customFormat="1" ht="17.25" customHeight="1">
      <c r="A1874" s="12"/>
      <c r="B1874" s="97" t="s">
        <v>84</v>
      </c>
      <c r="C1874" s="15" t="s">
        <v>85</v>
      </c>
      <c r="D1874" s="51"/>
      <c r="E1874" s="51"/>
      <c r="F1874" s="51"/>
      <c r="G1874" s="51">
        <v>2</v>
      </c>
      <c r="H1874" s="51">
        <v>2</v>
      </c>
      <c r="I1874" s="51">
        <v>2</v>
      </c>
      <c r="J1874" s="51">
        <v>2</v>
      </c>
      <c r="K1874" s="51">
        <v>2</v>
      </c>
      <c r="L1874" s="40">
        <v>1</v>
      </c>
      <c r="M1874" s="40">
        <v>1</v>
      </c>
      <c r="N1874" s="40">
        <v>1</v>
      </c>
      <c r="O1874" s="40">
        <v>1</v>
      </c>
      <c r="P1874" s="40">
        <v>1</v>
      </c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</row>
    <row r="1875" spans="1:48" s="27" customFormat="1" ht="17.25" customHeight="1">
      <c r="A1875" s="12"/>
      <c r="B1875" s="105" t="s">
        <v>934</v>
      </c>
      <c r="C1875" s="15" t="s">
        <v>935</v>
      </c>
      <c r="D1875" s="51"/>
      <c r="E1875" s="51"/>
      <c r="F1875" s="51"/>
      <c r="G1875" s="51"/>
      <c r="H1875" s="51"/>
      <c r="I1875" s="51"/>
      <c r="J1875" s="51"/>
      <c r="K1875" s="51"/>
      <c r="L1875" s="40">
        <v>1</v>
      </c>
      <c r="M1875" s="40" t="s">
        <v>556</v>
      </c>
      <c r="N1875" s="40">
        <v>1</v>
      </c>
      <c r="O1875" s="40" t="s">
        <v>556</v>
      </c>
      <c r="P1875" s="40">
        <v>1</v>
      </c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</row>
    <row r="1876" spans="1:188" s="57" customFormat="1" ht="17.25" customHeight="1">
      <c r="A1876" s="13">
        <v>18</v>
      </c>
      <c r="B1876" s="92" t="s">
        <v>957</v>
      </c>
      <c r="C1876" s="45"/>
      <c r="D1876" s="44"/>
      <c r="E1876" s="44"/>
      <c r="F1876" s="44">
        <v>250</v>
      </c>
      <c r="G1876" s="44">
        <v>52</v>
      </c>
      <c r="H1876" s="44">
        <v>52</v>
      </c>
      <c r="I1876" s="44">
        <v>52</v>
      </c>
      <c r="J1876" s="44">
        <v>52</v>
      </c>
      <c r="K1876" s="44">
        <v>52</v>
      </c>
      <c r="L1876" s="44">
        <f>SUM(L1877,L1885,L1887)</f>
        <v>8</v>
      </c>
      <c r="M1876" s="44">
        <f>SUM(M1877,M1885,M1887)</f>
        <v>6</v>
      </c>
      <c r="N1876" s="44">
        <f>SUM(N1877,N1885,N1887)</f>
        <v>6</v>
      </c>
      <c r="O1876" s="44">
        <f>SUM(O1877,O1885,O1887)</f>
        <v>3</v>
      </c>
      <c r="P1876" s="44">
        <f>SUM(P1877,P1885,P1887)</f>
        <v>4</v>
      </c>
      <c r="Q1876" s="54" t="s">
        <v>648</v>
      </c>
      <c r="R1876" s="54">
        <v>2</v>
      </c>
      <c r="S1876" s="55" t="s">
        <v>443</v>
      </c>
      <c r="T1876" s="56"/>
      <c r="U1876" s="56"/>
      <c r="V1876" s="56"/>
      <c r="W1876" s="56"/>
      <c r="X1876" s="56"/>
      <c r="Y1876" s="56"/>
      <c r="Z1876" s="56"/>
      <c r="AA1876" s="56"/>
      <c r="AB1876" s="56"/>
      <c r="AC1876" s="56"/>
      <c r="AD1876" s="56"/>
      <c r="AE1876" s="56"/>
      <c r="AF1876" s="56"/>
      <c r="AG1876" s="56"/>
      <c r="AH1876" s="56"/>
      <c r="AI1876" s="56"/>
      <c r="AJ1876" s="56"/>
      <c r="AK1876" s="56"/>
      <c r="AL1876" s="56"/>
      <c r="AM1876" s="56"/>
      <c r="AN1876" s="56"/>
      <c r="AO1876" s="56"/>
      <c r="AP1876" s="56"/>
      <c r="AQ1876" s="56"/>
      <c r="AR1876" s="56"/>
      <c r="AS1876" s="56"/>
      <c r="AT1876" s="56"/>
      <c r="AU1876" s="56"/>
      <c r="AV1876" s="56"/>
      <c r="AW1876" s="56"/>
      <c r="AX1876" s="56"/>
      <c r="AY1876" s="56"/>
      <c r="AZ1876" s="56"/>
      <c r="BA1876" s="56"/>
      <c r="BB1876" s="56"/>
      <c r="BC1876" s="56"/>
      <c r="BD1876" s="56"/>
      <c r="BE1876" s="56"/>
      <c r="BF1876" s="56"/>
      <c r="BG1876" s="56"/>
      <c r="BH1876" s="56"/>
      <c r="BI1876" s="56"/>
      <c r="BJ1876" s="56"/>
      <c r="BK1876" s="56"/>
      <c r="BL1876" s="56"/>
      <c r="BM1876" s="56"/>
      <c r="BN1876" s="56"/>
      <c r="BO1876" s="56"/>
      <c r="BP1876" s="56"/>
      <c r="BQ1876" s="56"/>
      <c r="BR1876" s="56"/>
      <c r="BS1876" s="56"/>
      <c r="BT1876" s="56"/>
      <c r="BU1876" s="56"/>
      <c r="BV1876" s="56"/>
      <c r="BW1876" s="56"/>
      <c r="BX1876" s="56"/>
      <c r="BY1876" s="56"/>
      <c r="BZ1876" s="56"/>
      <c r="CA1876" s="56"/>
      <c r="CB1876" s="56"/>
      <c r="CC1876" s="56"/>
      <c r="CD1876" s="56"/>
      <c r="CE1876" s="56"/>
      <c r="CF1876" s="56"/>
      <c r="CG1876" s="56"/>
      <c r="CH1876" s="56"/>
      <c r="CI1876" s="56"/>
      <c r="CJ1876" s="56"/>
      <c r="CK1876" s="56"/>
      <c r="CL1876" s="56"/>
      <c r="CM1876" s="56"/>
      <c r="CN1876" s="56"/>
      <c r="CO1876" s="56"/>
      <c r="CP1876" s="56"/>
      <c r="CQ1876" s="56"/>
      <c r="CR1876" s="56"/>
      <c r="CS1876" s="56"/>
      <c r="CT1876" s="56"/>
      <c r="CU1876" s="56"/>
      <c r="CV1876" s="56"/>
      <c r="CW1876" s="56"/>
      <c r="CX1876" s="56"/>
      <c r="CY1876" s="56"/>
      <c r="CZ1876" s="56"/>
      <c r="DA1876" s="56"/>
      <c r="DB1876" s="56"/>
      <c r="DC1876" s="56"/>
      <c r="DD1876" s="56"/>
      <c r="DE1876" s="56"/>
      <c r="DF1876" s="56"/>
      <c r="DG1876" s="56"/>
      <c r="DH1876" s="56"/>
      <c r="DI1876" s="56"/>
      <c r="DJ1876" s="56"/>
      <c r="DK1876" s="56"/>
      <c r="DL1876" s="56"/>
      <c r="DM1876" s="56"/>
      <c r="DN1876" s="56"/>
      <c r="DO1876" s="56"/>
      <c r="DP1876" s="56"/>
      <c r="DQ1876" s="56"/>
      <c r="DR1876" s="56"/>
      <c r="DS1876" s="56"/>
      <c r="DT1876" s="56"/>
      <c r="DU1876" s="56"/>
      <c r="DV1876" s="56"/>
      <c r="DW1876" s="56"/>
      <c r="DX1876" s="56"/>
      <c r="DY1876" s="56"/>
      <c r="DZ1876" s="56"/>
      <c r="EA1876" s="56"/>
      <c r="EB1876" s="56"/>
      <c r="EC1876" s="56"/>
      <c r="ED1876" s="56"/>
      <c r="EE1876" s="56"/>
      <c r="EF1876" s="56"/>
      <c r="EG1876" s="56"/>
      <c r="EH1876" s="56"/>
      <c r="EI1876" s="56"/>
      <c r="EJ1876" s="56"/>
      <c r="EK1876" s="56"/>
      <c r="EL1876" s="56"/>
      <c r="EM1876" s="56"/>
      <c r="EN1876" s="56"/>
      <c r="EO1876" s="56"/>
      <c r="EP1876" s="56"/>
      <c r="EQ1876" s="56"/>
      <c r="ER1876" s="56"/>
      <c r="ES1876" s="56"/>
      <c r="ET1876" s="56"/>
      <c r="EU1876" s="56"/>
      <c r="EV1876" s="56"/>
      <c r="EW1876" s="56"/>
      <c r="EX1876" s="56"/>
      <c r="EY1876" s="56"/>
      <c r="EZ1876" s="56"/>
      <c r="FA1876" s="56"/>
      <c r="FB1876" s="56"/>
      <c r="FC1876" s="56"/>
      <c r="FD1876" s="56"/>
      <c r="FE1876" s="56"/>
      <c r="FF1876" s="56"/>
      <c r="FG1876" s="56"/>
      <c r="FH1876" s="56"/>
      <c r="FI1876" s="56"/>
      <c r="FJ1876" s="56"/>
      <c r="FK1876" s="56"/>
      <c r="FL1876" s="56"/>
      <c r="FM1876" s="56"/>
      <c r="FN1876" s="56"/>
      <c r="FO1876" s="56"/>
      <c r="FP1876" s="56"/>
      <c r="FQ1876" s="56"/>
      <c r="FR1876" s="56"/>
      <c r="FS1876" s="56"/>
      <c r="FT1876" s="56"/>
      <c r="FU1876" s="56"/>
      <c r="FV1876" s="56"/>
      <c r="FW1876" s="56"/>
      <c r="FX1876" s="56"/>
      <c r="FY1876" s="56"/>
      <c r="FZ1876" s="56"/>
      <c r="GA1876" s="56"/>
      <c r="GB1876" s="56"/>
      <c r="GC1876" s="56"/>
      <c r="GD1876" s="56"/>
      <c r="GE1876" s="56"/>
      <c r="GF1876" s="56"/>
    </row>
    <row r="1877" spans="1:48" s="18" customFormat="1" ht="17.25" customHeight="1">
      <c r="A1877" s="50"/>
      <c r="B1877" s="93" t="s">
        <v>669</v>
      </c>
      <c r="C1877" s="16"/>
      <c r="D1877" s="52"/>
      <c r="E1877" s="52"/>
      <c r="F1877" s="52"/>
      <c r="G1877" s="52"/>
      <c r="H1877" s="52"/>
      <c r="I1877" s="52"/>
      <c r="J1877" s="52"/>
      <c r="K1877" s="52"/>
      <c r="L1877" s="60">
        <f>SUM(L1879:L1884)</f>
        <v>8</v>
      </c>
      <c r="M1877" s="60">
        <f>SUM(M1879:M1884)</f>
        <v>5</v>
      </c>
      <c r="N1877" s="60">
        <f>SUM(N1879:N1884)</f>
        <v>5</v>
      </c>
      <c r="O1877" s="60">
        <f>SUM(O1879:O1884)</f>
        <v>2</v>
      </c>
      <c r="P1877" s="60">
        <f>SUM(P1879:P1884)</f>
        <v>3</v>
      </c>
      <c r="Q1877" s="23"/>
      <c r="R1877" s="23"/>
      <c r="S1877" s="17"/>
      <c r="T1877" s="47"/>
      <c r="U1877" s="47"/>
      <c r="V1877" s="47"/>
      <c r="W1877" s="47"/>
      <c r="X1877" s="47"/>
      <c r="Y1877" s="47"/>
      <c r="Z1877" s="47"/>
      <c r="AA1877" s="47"/>
      <c r="AB1877" s="47"/>
      <c r="AC1877" s="47"/>
      <c r="AD1877" s="47"/>
      <c r="AE1877" s="47"/>
      <c r="AF1877" s="47"/>
      <c r="AG1877" s="47"/>
      <c r="AH1877" s="47"/>
      <c r="AI1877" s="47"/>
      <c r="AJ1877" s="47"/>
      <c r="AK1877" s="47"/>
      <c r="AL1877" s="47"/>
      <c r="AM1877" s="47"/>
      <c r="AN1877" s="47"/>
      <c r="AO1877" s="47"/>
      <c r="AP1877" s="47"/>
      <c r="AQ1877" s="47"/>
      <c r="AR1877" s="47"/>
      <c r="AS1877" s="47"/>
      <c r="AT1877" s="47"/>
      <c r="AU1877" s="47"/>
      <c r="AV1877" s="47"/>
    </row>
    <row r="1878" spans="1:48" s="27" customFormat="1" ht="17.25" customHeight="1">
      <c r="A1878" s="12"/>
      <c r="B1878" s="105" t="s">
        <v>788</v>
      </c>
      <c r="C1878" s="15" t="s">
        <v>789</v>
      </c>
      <c r="D1878" s="51"/>
      <c r="E1878" s="40"/>
      <c r="F1878" s="40"/>
      <c r="G1878" s="40">
        <v>1</v>
      </c>
      <c r="H1878" s="40">
        <v>1</v>
      </c>
      <c r="I1878" s="40">
        <v>1</v>
      </c>
      <c r="J1878" s="40">
        <v>1</v>
      </c>
      <c r="K1878" s="40">
        <v>1</v>
      </c>
      <c r="L1878" s="40">
        <v>1</v>
      </c>
      <c r="M1878" s="40">
        <v>1</v>
      </c>
      <c r="N1878" s="40">
        <v>1</v>
      </c>
      <c r="O1878" s="40">
        <v>1</v>
      </c>
      <c r="P1878" s="40">
        <v>1</v>
      </c>
      <c r="Q1878" s="30"/>
      <c r="R1878" s="30"/>
      <c r="S1878" s="30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</row>
    <row r="1879" spans="1:48" s="27" customFormat="1" ht="17.25" customHeight="1">
      <c r="A1879" s="12"/>
      <c r="B1879" s="97" t="s">
        <v>453</v>
      </c>
      <c r="C1879" s="29" t="s">
        <v>454</v>
      </c>
      <c r="D1879" s="51"/>
      <c r="E1879" s="40"/>
      <c r="F1879" s="40"/>
      <c r="G1879" s="40">
        <v>1</v>
      </c>
      <c r="H1879" s="40">
        <v>1</v>
      </c>
      <c r="I1879" s="40">
        <v>1</v>
      </c>
      <c r="J1879" s="40">
        <v>1</v>
      </c>
      <c r="K1879" s="40">
        <v>1</v>
      </c>
      <c r="L1879" s="40">
        <v>1</v>
      </c>
      <c r="M1879" s="40" t="s">
        <v>556</v>
      </c>
      <c r="N1879" s="40">
        <v>1</v>
      </c>
      <c r="O1879" s="40" t="s">
        <v>556</v>
      </c>
      <c r="P1879" s="40" t="s">
        <v>556</v>
      </c>
      <c r="Q1879" s="30"/>
      <c r="R1879" s="30"/>
      <c r="S1879" s="30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</row>
    <row r="1880" spans="1:48" s="27" customFormat="1" ht="17.25" customHeight="1">
      <c r="A1880" s="12"/>
      <c r="B1880" s="97" t="s">
        <v>1316</v>
      </c>
      <c r="C1880" s="29" t="s">
        <v>1317</v>
      </c>
      <c r="D1880" s="51"/>
      <c r="E1880" s="40"/>
      <c r="F1880" s="40"/>
      <c r="G1880" s="40">
        <v>1</v>
      </c>
      <c r="H1880" s="40">
        <v>1</v>
      </c>
      <c r="I1880" s="40">
        <v>1</v>
      </c>
      <c r="J1880" s="40">
        <v>1</v>
      </c>
      <c r="K1880" s="40">
        <v>1</v>
      </c>
      <c r="L1880" s="40">
        <v>1</v>
      </c>
      <c r="M1880" s="40">
        <v>1</v>
      </c>
      <c r="N1880" s="40">
        <v>1</v>
      </c>
      <c r="O1880" s="40" t="s">
        <v>556</v>
      </c>
      <c r="P1880" s="40">
        <v>1</v>
      </c>
      <c r="Q1880" s="30"/>
      <c r="R1880" s="30"/>
      <c r="S1880" s="30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</row>
    <row r="1881" spans="1:48" s="27" customFormat="1" ht="17.25" customHeight="1">
      <c r="A1881" s="12"/>
      <c r="B1881" s="105" t="s">
        <v>18</v>
      </c>
      <c r="C1881" s="15" t="s">
        <v>19</v>
      </c>
      <c r="D1881" s="51"/>
      <c r="E1881" s="40"/>
      <c r="F1881" s="40"/>
      <c r="G1881" s="40">
        <v>1</v>
      </c>
      <c r="H1881" s="40">
        <v>1</v>
      </c>
      <c r="I1881" s="40">
        <v>1</v>
      </c>
      <c r="J1881" s="40">
        <v>1</v>
      </c>
      <c r="K1881" s="40">
        <v>1</v>
      </c>
      <c r="L1881" s="40">
        <v>2</v>
      </c>
      <c r="M1881" s="40">
        <v>1</v>
      </c>
      <c r="N1881" s="40">
        <v>1</v>
      </c>
      <c r="O1881" s="40">
        <v>1</v>
      </c>
      <c r="P1881" s="40">
        <v>1</v>
      </c>
      <c r="Q1881" s="30"/>
      <c r="R1881" s="30"/>
      <c r="S1881" s="30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</row>
    <row r="1882" spans="1:48" s="27" customFormat="1" ht="17.25" customHeight="1">
      <c r="A1882" s="12"/>
      <c r="B1882" s="97" t="s">
        <v>599</v>
      </c>
      <c r="C1882" s="15" t="s">
        <v>600</v>
      </c>
      <c r="D1882" s="51"/>
      <c r="E1882" s="40"/>
      <c r="F1882" s="40"/>
      <c r="G1882" s="40">
        <v>12</v>
      </c>
      <c r="H1882" s="40">
        <v>12</v>
      </c>
      <c r="I1882" s="40">
        <v>12</v>
      </c>
      <c r="J1882" s="40">
        <v>12</v>
      </c>
      <c r="K1882" s="40">
        <v>12</v>
      </c>
      <c r="L1882" s="40">
        <v>3</v>
      </c>
      <c r="M1882" s="40">
        <v>2</v>
      </c>
      <c r="N1882" s="40">
        <v>2</v>
      </c>
      <c r="O1882" s="40">
        <v>1</v>
      </c>
      <c r="P1882" s="40">
        <v>1</v>
      </c>
      <c r="Q1882" s="30"/>
      <c r="R1882" s="30"/>
      <c r="S1882" s="30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</row>
    <row r="1883" spans="1:48" s="27" customFormat="1" ht="17.25" customHeight="1">
      <c r="A1883" s="12"/>
      <c r="B1883" s="105" t="s">
        <v>1331</v>
      </c>
      <c r="C1883" s="15">
        <v>17050137</v>
      </c>
      <c r="D1883" s="51"/>
      <c r="E1883" s="40"/>
      <c r="F1883" s="40"/>
      <c r="G1883" s="40"/>
      <c r="H1883" s="40"/>
      <c r="I1883" s="40"/>
      <c r="J1883" s="40"/>
      <c r="K1883" s="40"/>
      <c r="L1883" s="40" t="s">
        <v>556</v>
      </c>
      <c r="M1883" s="40">
        <v>1</v>
      </c>
      <c r="N1883" s="40" t="s">
        <v>556</v>
      </c>
      <c r="O1883" s="40" t="s">
        <v>556</v>
      </c>
      <c r="P1883" s="40" t="s">
        <v>556</v>
      </c>
      <c r="Q1883" s="30"/>
      <c r="R1883" s="30"/>
      <c r="S1883" s="30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</row>
    <row r="1884" spans="1:48" s="27" customFormat="1" ht="17.25" customHeight="1">
      <c r="A1884" s="12"/>
      <c r="B1884" s="97" t="s">
        <v>560</v>
      </c>
      <c r="C1884" s="29" t="s">
        <v>1319</v>
      </c>
      <c r="D1884" s="51"/>
      <c r="E1884" s="40"/>
      <c r="F1884" s="40"/>
      <c r="G1884" s="40"/>
      <c r="H1884" s="40"/>
      <c r="I1884" s="40"/>
      <c r="J1884" s="40"/>
      <c r="K1884" s="40"/>
      <c r="L1884" s="40">
        <v>1</v>
      </c>
      <c r="M1884" s="40" t="s">
        <v>556</v>
      </c>
      <c r="N1884" s="40" t="s">
        <v>556</v>
      </c>
      <c r="O1884" s="40" t="s">
        <v>556</v>
      </c>
      <c r="P1884" s="40" t="s">
        <v>556</v>
      </c>
      <c r="Q1884" s="30"/>
      <c r="R1884" s="30"/>
      <c r="S1884" s="30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</row>
    <row r="1885" spans="1:48" s="27" customFormat="1" ht="17.25" customHeight="1">
      <c r="A1885" s="12"/>
      <c r="B1885" s="93" t="s">
        <v>670</v>
      </c>
      <c r="C1885" s="16"/>
      <c r="D1885" s="52"/>
      <c r="E1885" s="52"/>
      <c r="F1885" s="52"/>
      <c r="G1885" s="52"/>
      <c r="H1885" s="52"/>
      <c r="I1885" s="52"/>
      <c r="J1885" s="52"/>
      <c r="K1885" s="52"/>
      <c r="L1885" s="60" t="str">
        <f>L1886</f>
        <v> -</v>
      </c>
      <c r="M1885" s="60" t="str">
        <f>M1886</f>
        <v> -</v>
      </c>
      <c r="N1885" s="60" t="str">
        <f>N1886</f>
        <v> -</v>
      </c>
      <c r="O1885" s="60">
        <f>O1886</f>
        <v>1</v>
      </c>
      <c r="P1885" s="60" t="str">
        <f>P1886</f>
        <v> -</v>
      </c>
      <c r="Q1885" s="30"/>
      <c r="R1885" s="30"/>
      <c r="S1885" s="30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</row>
    <row r="1886" spans="1:48" s="27" customFormat="1" ht="17.25" customHeight="1">
      <c r="A1886" s="12"/>
      <c r="B1886" s="97" t="s">
        <v>566</v>
      </c>
      <c r="C1886" s="15" t="s">
        <v>567</v>
      </c>
      <c r="D1886" s="51"/>
      <c r="E1886" s="40"/>
      <c r="F1886" s="40">
        <v>1</v>
      </c>
      <c r="G1886" s="40">
        <v>1</v>
      </c>
      <c r="H1886" s="40">
        <v>1</v>
      </c>
      <c r="I1886" s="40">
        <v>1</v>
      </c>
      <c r="J1886" s="40">
        <v>1</v>
      </c>
      <c r="K1886" s="40">
        <v>1</v>
      </c>
      <c r="L1886" s="40" t="s">
        <v>556</v>
      </c>
      <c r="M1886" s="40" t="s">
        <v>556</v>
      </c>
      <c r="N1886" s="40" t="s">
        <v>556</v>
      </c>
      <c r="O1886" s="40">
        <v>1</v>
      </c>
      <c r="P1886" s="40" t="s">
        <v>556</v>
      </c>
      <c r="Q1886" s="30"/>
      <c r="R1886" s="30"/>
      <c r="S1886" s="30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</row>
    <row r="1887" spans="1:48" s="18" customFormat="1" ht="17.25" customHeight="1">
      <c r="A1887" s="50"/>
      <c r="B1887" s="93" t="s">
        <v>37</v>
      </c>
      <c r="C1887" s="16"/>
      <c r="D1887" s="52"/>
      <c r="E1887" s="51"/>
      <c r="F1887" s="52"/>
      <c r="G1887" s="52"/>
      <c r="H1887" s="52"/>
      <c r="I1887" s="52"/>
      <c r="J1887" s="52"/>
      <c r="K1887" s="52"/>
      <c r="L1887" s="60" t="s">
        <v>556</v>
      </c>
      <c r="M1887" s="60">
        <f>SUM(M1888:M1890)</f>
        <v>1</v>
      </c>
      <c r="N1887" s="60">
        <f>SUM(N1888:N1890)</f>
        <v>1</v>
      </c>
      <c r="O1887" s="60" t="s">
        <v>556</v>
      </c>
      <c r="P1887" s="60">
        <f>SUM(P1888:P1890)</f>
        <v>1</v>
      </c>
      <c r="T1887" s="47"/>
      <c r="U1887" s="47"/>
      <c r="V1887" s="47"/>
      <c r="W1887" s="47"/>
      <c r="X1887" s="47"/>
      <c r="Y1887" s="47"/>
      <c r="Z1887" s="47"/>
      <c r="AA1887" s="47"/>
      <c r="AB1887" s="47"/>
      <c r="AC1887" s="47"/>
      <c r="AD1887" s="47"/>
      <c r="AE1887" s="47"/>
      <c r="AF1887" s="47"/>
      <c r="AG1887" s="47"/>
      <c r="AH1887" s="47"/>
      <c r="AI1887" s="47"/>
      <c r="AJ1887" s="47"/>
      <c r="AK1887" s="47"/>
      <c r="AL1887" s="47"/>
      <c r="AM1887" s="47"/>
      <c r="AN1887" s="47"/>
      <c r="AO1887" s="47"/>
      <c r="AP1887" s="47"/>
      <c r="AQ1887" s="47"/>
      <c r="AR1887" s="47"/>
      <c r="AS1887" s="47"/>
      <c r="AT1887" s="47"/>
      <c r="AU1887" s="47"/>
      <c r="AV1887" s="47"/>
    </row>
    <row r="1888" spans="1:48" s="27" customFormat="1" ht="17.25" customHeight="1">
      <c r="A1888" s="12"/>
      <c r="B1888" s="97" t="s">
        <v>887</v>
      </c>
      <c r="C1888" s="66" t="s">
        <v>888</v>
      </c>
      <c r="D1888" s="51"/>
      <c r="E1888" s="51"/>
      <c r="F1888" s="51"/>
      <c r="G1888" s="51">
        <v>2</v>
      </c>
      <c r="H1888" s="51">
        <v>2</v>
      </c>
      <c r="I1888" s="51">
        <v>2</v>
      </c>
      <c r="J1888" s="51">
        <v>2</v>
      </c>
      <c r="K1888" s="51">
        <v>2</v>
      </c>
      <c r="L1888" s="40" t="s">
        <v>556</v>
      </c>
      <c r="M1888" s="40" t="s">
        <v>556</v>
      </c>
      <c r="N1888" s="40" t="s">
        <v>556</v>
      </c>
      <c r="O1888" s="40" t="s">
        <v>556</v>
      </c>
      <c r="P1888" s="40">
        <v>1</v>
      </c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</row>
    <row r="1889" spans="1:48" s="27" customFormat="1" ht="17.25" customHeight="1">
      <c r="A1889" s="12"/>
      <c r="B1889" s="97" t="s">
        <v>958</v>
      </c>
      <c r="C1889" s="66" t="s">
        <v>959</v>
      </c>
      <c r="D1889" s="51"/>
      <c r="E1889" s="51"/>
      <c r="F1889" s="51"/>
      <c r="G1889" s="51"/>
      <c r="H1889" s="51"/>
      <c r="I1889" s="51"/>
      <c r="J1889" s="51"/>
      <c r="K1889" s="51"/>
      <c r="L1889" s="40" t="s">
        <v>556</v>
      </c>
      <c r="M1889" s="40">
        <v>1</v>
      </c>
      <c r="N1889" s="40" t="s">
        <v>556</v>
      </c>
      <c r="O1889" s="40" t="s">
        <v>556</v>
      </c>
      <c r="P1889" s="40" t="s">
        <v>556</v>
      </c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</row>
    <row r="1890" spans="1:48" s="27" customFormat="1" ht="17.25" customHeight="1">
      <c r="A1890" s="12"/>
      <c r="B1890" s="97" t="s">
        <v>637</v>
      </c>
      <c r="C1890" s="15" t="s">
        <v>638</v>
      </c>
      <c r="D1890" s="51"/>
      <c r="E1890" s="51"/>
      <c r="F1890" s="51"/>
      <c r="G1890" s="51"/>
      <c r="H1890" s="51"/>
      <c r="I1890" s="51"/>
      <c r="J1890" s="51"/>
      <c r="K1890" s="51"/>
      <c r="L1890" s="40" t="s">
        <v>556</v>
      </c>
      <c r="M1890" s="40" t="s">
        <v>556</v>
      </c>
      <c r="N1890" s="40">
        <v>1</v>
      </c>
      <c r="O1890" s="40" t="s">
        <v>556</v>
      </c>
      <c r="P1890" s="40" t="s">
        <v>556</v>
      </c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</row>
    <row r="1891" spans="1:188" s="57" customFormat="1" ht="17.25" customHeight="1">
      <c r="A1891" s="13">
        <v>19</v>
      </c>
      <c r="B1891" s="92" t="s">
        <v>501</v>
      </c>
      <c r="C1891" s="45"/>
      <c r="D1891" s="44">
        <v>42</v>
      </c>
      <c r="E1891" s="44">
        <v>8</v>
      </c>
      <c r="F1891" s="44">
        <v>23</v>
      </c>
      <c r="G1891" s="44">
        <v>47</v>
      </c>
      <c r="H1891" s="44">
        <v>47</v>
      </c>
      <c r="I1891" s="44">
        <v>47</v>
      </c>
      <c r="J1891" s="44">
        <v>47</v>
      </c>
      <c r="K1891" s="44">
        <v>47</v>
      </c>
      <c r="L1891" s="44">
        <v>5</v>
      </c>
      <c r="M1891" s="44" t="str">
        <f>M1892</f>
        <v> -</v>
      </c>
      <c r="N1891" s="44" t="str">
        <f>N1892</f>
        <v> -</v>
      </c>
      <c r="O1891" s="44" t="str">
        <f>O1892</f>
        <v> -</v>
      </c>
      <c r="P1891" s="44" t="str">
        <f>P1892</f>
        <v>  -</v>
      </c>
      <c r="Q1891" s="54" t="s">
        <v>649</v>
      </c>
      <c r="R1891" s="54">
        <v>1</v>
      </c>
      <c r="S1891" s="55" t="s">
        <v>535</v>
      </c>
      <c r="T1891" s="56"/>
      <c r="U1891" s="56"/>
      <c r="V1891" s="56"/>
      <c r="W1891" s="56"/>
      <c r="X1891" s="56"/>
      <c r="Y1891" s="56"/>
      <c r="Z1891" s="56"/>
      <c r="AA1891" s="56"/>
      <c r="AB1891" s="56"/>
      <c r="AC1891" s="56"/>
      <c r="AD1891" s="56"/>
      <c r="AE1891" s="56"/>
      <c r="AF1891" s="56"/>
      <c r="AG1891" s="56"/>
      <c r="AH1891" s="56"/>
      <c r="AI1891" s="56"/>
      <c r="AJ1891" s="56"/>
      <c r="AK1891" s="56"/>
      <c r="AL1891" s="56"/>
      <c r="AM1891" s="56"/>
      <c r="AN1891" s="56"/>
      <c r="AO1891" s="56"/>
      <c r="AP1891" s="56"/>
      <c r="AQ1891" s="56"/>
      <c r="AR1891" s="56"/>
      <c r="AS1891" s="56"/>
      <c r="AT1891" s="56"/>
      <c r="AU1891" s="56"/>
      <c r="AV1891" s="56"/>
      <c r="AW1891" s="56"/>
      <c r="AX1891" s="56"/>
      <c r="AY1891" s="56"/>
      <c r="AZ1891" s="56"/>
      <c r="BA1891" s="56"/>
      <c r="BB1891" s="56"/>
      <c r="BC1891" s="56"/>
      <c r="BD1891" s="56"/>
      <c r="BE1891" s="56"/>
      <c r="BF1891" s="56"/>
      <c r="BG1891" s="56"/>
      <c r="BH1891" s="56"/>
      <c r="BI1891" s="56"/>
      <c r="BJ1891" s="56"/>
      <c r="BK1891" s="56"/>
      <c r="BL1891" s="56"/>
      <c r="BM1891" s="56"/>
      <c r="BN1891" s="56"/>
      <c r="BO1891" s="56"/>
      <c r="BP1891" s="56"/>
      <c r="BQ1891" s="56"/>
      <c r="BR1891" s="56"/>
      <c r="BS1891" s="56"/>
      <c r="BT1891" s="56"/>
      <c r="BU1891" s="56"/>
      <c r="BV1891" s="56"/>
      <c r="BW1891" s="56"/>
      <c r="BX1891" s="56"/>
      <c r="BY1891" s="56"/>
      <c r="BZ1891" s="56"/>
      <c r="CA1891" s="56"/>
      <c r="CB1891" s="56"/>
      <c r="CC1891" s="56"/>
      <c r="CD1891" s="56"/>
      <c r="CE1891" s="56"/>
      <c r="CF1891" s="56"/>
      <c r="CG1891" s="56"/>
      <c r="CH1891" s="56"/>
      <c r="CI1891" s="56"/>
      <c r="CJ1891" s="56"/>
      <c r="CK1891" s="56"/>
      <c r="CL1891" s="56"/>
      <c r="CM1891" s="56"/>
      <c r="CN1891" s="56"/>
      <c r="CO1891" s="56"/>
      <c r="CP1891" s="56"/>
      <c r="CQ1891" s="56"/>
      <c r="CR1891" s="56"/>
      <c r="CS1891" s="56"/>
      <c r="CT1891" s="56"/>
      <c r="CU1891" s="56"/>
      <c r="CV1891" s="56"/>
      <c r="CW1891" s="56"/>
      <c r="CX1891" s="56"/>
      <c r="CY1891" s="56"/>
      <c r="CZ1891" s="56"/>
      <c r="DA1891" s="56"/>
      <c r="DB1891" s="56"/>
      <c r="DC1891" s="56"/>
      <c r="DD1891" s="56"/>
      <c r="DE1891" s="56"/>
      <c r="DF1891" s="56"/>
      <c r="DG1891" s="56"/>
      <c r="DH1891" s="56"/>
      <c r="DI1891" s="56"/>
      <c r="DJ1891" s="56"/>
      <c r="DK1891" s="56"/>
      <c r="DL1891" s="56"/>
      <c r="DM1891" s="56"/>
      <c r="DN1891" s="56"/>
      <c r="DO1891" s="56"/>
      <c r="DP1891" s="56"/>
      <c r="DQ1891" s="56"/>
      <c r="DR1891" s="56"/>
      <c r="DS1891" s="56"/>
      <c r="DT1891" s="56"/>
      <c r="DU1891" s="56"/>
      <c r="DV1891" s="56"/>
      <c r="DW1891" s="56"/>
      <c r="DX1891" s="56"/>
      <c r="DY1891" s="56"/>
      <c r="DZ1891" s="56"/>
      <c r="EA1891" s="56"/>
      <c r="EB1891" s="56"/>
      <c r="EC1891" s="56"/>
      <c r="ED1891" s="56"/>
      <c r="EE1891" s="56"/>
      <c r="EF1891" s="56"/>
      <c r="EG1891" s="56"/>
      <c r="EH1891" s="56"/>
      <c r="EI1891" s="56"/>
      <c r="EJ1891" s="56"/>
      <c r="EK1891" s="56"/>
      <c r="EL1891" s="56"/>
      <c r="EM1891" s="56"/>
      <c r="EN1891" s="56"/>
      <c r="EO1891" s="56"/>
      <c r="EP1891" s="56"/>
      <c r="EQ1891" s="56"/>
      <c r="ER1891" s="56"/>
      <c r="ES1891" s="56"/>
      <c r="ET1891" s="56"/>
      <c r="EU1891" s="56"/>
      <c r="EV1891" s="56"/>
      <c r="EW1891" s="56"/>
      <c r="EX1891" s="56"/>
      <c r="EY1891" s="56"/>
      <c r="EZ1891" s="56"/>
      <c r="FA1891" s="56"/>
      <c r="FB1891" s="56"/>
      <c r="FC1891" s="56"/>
      <c r="FD1891" s="56"/>
      <c r="FE1891" s="56"/>
      <c r="FF1891" s="56"/>
      <c r="FG1891" s="56"/>
      <c r="FH1891" s="56"/>
      <c r="FI1891" s="56"/>
      <c r="FJ1891" s="56"/>
      <c r="FK1891" s="56"/>
      <c r="FL1891" s="56"/>
      <c r="FM1891" s="56"/>
      <c r="FN1891" s="56"/>
      <c r="FO1891" s="56"/>
      <c r="FP1891" s="56"/>
      <c r="FQ1891" s="56"/>
      <c r="FR1891" s="56"/>
      <c r="FS1891" s="56"/>
      <c r="FT1891" s="56"/>
      <c r="FU1891" s="56"/>
      <c r="FV1891" s="56"/>
      <c r="FW1891" s="56"/>
      <c r="FX1891" s="56"/>
      <c r="FY1891" s="56"/>
      <c r="FZ1891" s="56"/>
      <c r="GA1891" s="56"/>
      <c r="GB1891" s="56"/>
      <c r="GC1891" s="56"/>
      <c r="GD1891" s="56"/>
      <c r="GE1891" s="56"/>
      <c r="GF1891" s="56"/>
    </row>
    <row r="1892" spans="1:48" s="18" customFormat="1" ht="17.25" customHeight="1">
      <c r="A1892" s="50"/>
      <c r="B1892" s="93" t="s">
        <v>669</v>
      </c>
      <c r="C1892" s="16"/>
      <c r="D1892" s="52"/>
      <c r="E1892" s="52"/>
      <c r="F1892" s="52"/>
      <c r="G1892" s="52"/>
      <c r="H1892" s="52"/>
      <c r="I1892" s="52"/>
      <c r="J1892" s="52"/>
      <c r="K1892" s="52"/>
      <c r="L1892" s="60">
        <f>SUM(L1893:L1894)</f>
        <v>4</v>
      </c>
      <c r="M1892" s="60" t="s">
        <v>556</v>
      </c>
      <c r="N1892" s="60" t="s">
        <v>556</v>
      </c>
      <c r="O1892" s="60" t="s">
        <v>556</v>
      </c>
      <c r="P1892" s="60" t="s">
        <v>121</v>
      </c>
      <c r="T1892" s="47"/>
      <c r="U1892" s="47"/>
      <c r="V1892" s="47"/>
      <c r="W1892" s="47"/>
      <c r="X1892" s="47"/>
      <c r="Y1892" s="47"/>
      <c r="Z1892" s="47"/>
      <c r="AA1892" s="47"/>
      <c r="AB1892" s="47"/>
      <c r="AC1892" s="47"/>
      <c r="AD1892" s="47"/>
      <c r="AE1892" s="47"/>
      <c r="AF1892" s="47"/>
      <c r="AG1892" s="47"/>
      <c r="AH1892" s="47"/>
      <c r="AI1892" s="47"/>
      <c r="AJ1892" s="47"/>
      <c r="AK1892" s="47"/>
      <c r="AL1892" s="47"/>
      <c r="AM1892" s="47"/>
      <c r="AN1892" s="47"/>
      <c r="AO1892" s="47"/>
      <c r="AP1892" s="47"/>
      <c r="AQ1892" s="47"/>
      <c r="AR1892" s="47"/>
      <c r="AS1892" s="47"/>
      <c r="AT1892" s="47"/>
      <c r="AU1892" s="47"/>
      <c r="AV1892" s="47"/>
    </row>
    <row r="1893" spans="1:48" s="27" customFormat="1" ht="17.25" customHeight="1">
      <c r="A1893" s="12"/>
      <c r="B1893" s="97" t="s">
        <v>564</v>
      </c>
      <c r="C1893" s="29" t="s">
        <v>565</v>
      </c>
      <c r="D1893" s="51"/>
      <c r="E1893" s="51"/>
      <c r="F1893" s="51">
        <v>10</v>
      </c>
      <c r="G1893" s="51">
        <v>3</v>
      </c>
      <c r="H1893" s="51">
        <v>3</v>
      </c>
      <c r="I1893" s="51">
        <v>3</v>
      </c>
      <c r="J1893" s="51">
        <v>3</v>
      </c>
      <c r="K1893" s="51">
        <v>3</v>
      </c>
      <c r="L1893" s="40">
        <v>3</v>
      </c>
      <c r="M1893" s="40" t="s">
        <v>556</v>
      </c>
      <c r="N1893" s="40" t="s">
        <v>556</v>
      </c>
      <c r="O1893" s="40" t="s">
        <v>556</v>
      </c>
      <c r="P1893" s="40" t="s">
        <v>556</v>
      </c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</row>
    <row r="1894" spans="1:48" s="27" customFormat="1" ht="17.25" customHeight="1">
      <c r="A1894" s="12"/>
      <c r="B1894" s="97" t="s">
        <v>560</v>
      </c>
      <c r="C1894" s="29" t="s">
        <v>1319</v>
      </c>
      <c r="D1894" s="51"/>
      <c r="E1894" s="51"/>
      <c r="F1894" s="51">
        <v>2</v>
      </c>
      <c r="G1894" s="51">
        <v>1</v>
      </c>
      <c r="H1894" s="51">
        <v>1</v>
      </c>
      <c r="I1894" s="51">
        <v>1</v>
      </c>
      <c r="J1894" s="51">
        <v>1</v>
      </c>
      <c r="K1894" s="51">
        <v>1</v>
      </c>
      <c r="L1894" s="40">
        <v>1</v>
      </c>
      <c r="M1894" s="40" t="s">
        <v>556</v>
      </c>
      <c r="N1894" s="40" t="s">
        <v>556</v>
      </c>
      <c r="O1894" s="40" t="s">
        <v>556</v>
      </c>
      <c r="P1894" s="40" t="s">
        <v>556</v>
      </c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</row>
    <row r="1895" spans="1:48" s="18" customFormat="1" ht="17.25" customHeight="1">
      <c r="A1895" s="50"/>
      <c r="B1895" s="93" t="s">
        <v>37</v>
      </c>
      <c r="C1895" s="16"/>
      <c r="D1895" s="52"/>
      <c r="E1895" s="51"/>
      <c r="F1895" s="52"/>
      <c r="G1895" s="52"/>
      <c r="H1895" s="52"/>
      <c r="I1895" s="52"/>
      <c r="J1895" s="52"/>
      <c r="K1895" s="52"/>
      <c r="L1895" s="60">
        <f>L1896</f>
        <v>1</v>
      </c>
      <c r="M1895" s="60" t="str">
        <f>M1896</f>
        <v> -</v>
      </c>
      <c r="N1895" s="60" t="str">
        <f>N1896</f>
        <v> -</v>
      </c>
      <c r="O1895" s="60" t="str">
        <f>O1896</f>
        <v> -</v>
      </c>
      <c r="P1895" s="60" t="str">
        <f>P1896</f>
        <v> -</v>
      </c>
      <c r="Q1895" s="238">
        <f>SUM(Q1896:Q1899)</f>
        <v>0</v>
      </c>
      <c r="R1895" s="52">
        <f>SUM(R1896:R1899)</f>
        <v>1</v>
      </c>
      <c r="S1895" s="52">
        <f>SUM(S1896:S1899)</f>
        <v>0</v>
      </c>
      <c r="T1895" s="47"/>
      <c r="U1895" s="47"/>
      <c r="V1895" s="47"/>
      <c r="W1895" s="47"/>
      <c r="X1895" s="47"/>
      <c r="Y1895" s="47"/>
      <c r="Z1895" s="47"/>
      <c r="AA1895" s="47"/>
      <c r="AB1895" s="47"/>
      <c r="AC1895" s="47"/>
      <c r="AD1895" s="47"/>
      <c r="AE1895" s="47"/>
      <c r="AF1895" s="47"/>
      <c r="AG1895" s="47"/>
      <c r="AH1895" s="47"/>
      <c r="AI1895" s="47"/>
      <c r="AJ1895" s="47"/>
      <c r="AK1895" s="47"/>
      <c r="AL1895" s="47"/>
      <c r="AM1895" s="47"/>
      <c r="AN1895" s="47"/>
      <c r="AO1895" s="47"/>
      <c r="AP1895" s="47"/>
      <c r="AQ1895" s="47"/>
      <c r="AR1895" s="47"/>
      <c r="AS1895" s="47"/>
      <c r="AT1895" s="47"/>
      <c r="AU1895" s="47"/>
      <c r="AV1895" s="47"/>
    </row>
    <row r="1896" spans="1:48" s="27" customFormat="1" ht="17.25" customHeight="1">
      <c r="A1896" s="12"/>
      <c r="B1896" s="117" t="s">
        <v>502</v>
      </c>
      <c r="C1896" s="65" t="s">
        <v>503</v>
      </c>
      <c r="D1896" s="51"/>
      <c r="E1896" s="51"/>
      <c r="F1896" s="51" t="s">
        <v>556</v>
      </c>
      <c r="G1896" s="51">
        <v>9</v>
      </c>
      <c r="H1896" s="51">
        <v>9</v>
      </c>
      <c r="I1896" s="51">
        <v>9</v>
      </c>
      <c r="J1896" s="51">
        <v>9</v>
      </c>
      <c r="K1896" s="51">
        <v>9</v>
      </c>
      <c r="L1896" s="40">
        <v>1</v>
      </c>
      <c r="M1896" s="40" t="s">
        <v>556</v>
      </c>
      <c r="N1896" s="40" t="s">
        <v>556</v>
      </c>
      <c r="O1896" s="40" t="s">
        <v>556</v>
      </c>
      <c r="P1896" s="40" t="s">
        <v>556</v>
      </c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</row>
    <row r="1897" spans="1:188" s="57" customFormat="1" ht="18" customHeight="1">
      <c r="A1897" s="13">
        <v>20</v>
      </c>
      <c r="B1897" s="92" t="s">
        <v>249</v>
      </c>
      <c r="C1897" s="45"/>
      <c r="D1897" s="44">
        <v>21</v>
      </c>
      <c r="E1897" s="44">
        <v>6</v>
      </c>
      <c r="F1897" s="44">
        <v>23</v>
      </c>
      <c r="G1897" s="44">
        <v>23</v>
      </c>
      <c r="H1897" s="44">
        <v>23</v>
      </c>
      <c r="I1897" s="44">
        <v>23</v>
      </c>
      <c r="J1897" s="44"/>
      <c r="K1897" s="44">
        <v>23</v>
      </c>
      <c r="L1897" s="44">
        <f>SUM(L1898,L1901)</f>
        <v>2</v>
      </c>
      <c r="M1897" s="44">
        <f>SUM(M1898,M1901)</f>
        <v>2</v>
      </c>
      <c r="N1897" s="44">
        <f>SUM(N1898,N1901)</f>
        <v>2</v>
      </c>
      <c r="O1897" s="44">
        <f>SUM(O1898,O1901)</f>
        <v>2</v>
      </c>
      <c r="P1897" s="44">
        <f>SUM(P1898,P1901)</f>
        <v>4</v>
      </c>
      <c r="Q1897" s="54" t="s">
        <v>649</v>
      </c>
      <c r="R1897" s="54">
        <v>1</v>
      </c>
      <c r="S1897" s="55" t="s">
        <v>535</v>
      </c>
      <c r="T1897" s="56"/>
      <c r="U1897" s="56"/>
      <c r="V1897" s="56"/>
      <c r="W1897" s="56"/>
      <c r="X1897" s="56"/>
      <c r="Y1897" s="56"/>
      <c r="Z1897" s="56"/>
      <c r="AA1897" s="56"/>
      <c r="AB1897" s="56"/>
      <c r="AC1897" s="56"/>
      <c r="AD1897" s="56"/>
      <c r="AE1897" s="56"/>
      <c r="AF1897" s="56"/>
      <c r="AG1897" s="56"/>
      <c r="AH1897" s="56"/>
      <c r="AI1897" s="56"/>
      <c r="AJ1897" s="56"/>
      <c r="AK1897" s="56"/>
      <c r="AL1897" s="56"/>
      <c r="AM1897" s="56"/>
      <c r="AN1897" s="56"/>
      <c r="AO1897" s="56"/>
      <c r="AP1897" s="56"/>
      <c r="AQ1897" s="56"/>
      <c r="AR1897" s="56"/>
      <c r="AS1897" s="56"/>
      <c r="AT1897" s="56"/>
      <c r="AU1897" s="56"/>
      <c r="AV1897" s="56"/>
      <c r="AW1897" s="56"/>
      <c r="AX1897" s="56"/>
      <c r="AY1897" s="56"/>
      <c r="AZ1897" s="56"/>
      <c r="BA1897" s="56"/>
      <c r="BB1897" s="56"/>
      <c r="BC1897" s="56"/>
      <c r="BD1897" s="56"/>
      <c r="BE1897" s="56"/>
      <c r="BF1897" s="56"/>
      <c r="BG1897" s="56"/>
      <c r="BH1897" s="56"/>
      <c r="BI1897" s="56"/>
      <c r="BJ1897" s="56"/>
      <c r="BK1897" s="56"/>
      <c r="BL1897" s="56"/>
      <c r="BM1897" s="56"/>
      <c r="BN1897" s="56"/>
      <c r="BO1897" s="56"/>
      <c r="BP1897" s="56"/>
      <c r="BQ1897" s="56"/>
      <c r="BR1897" s="56"/>
      <c r="BS1897" s="56"/>
      <c r="BT1897" s="56"/>
      <c r="BU1897" s="56"/>
      <c r="BV1897" s="56"/>
      <c r="BW1897" s="56"/>
      <c r="BX1897" s="56"/>
      <c r="BY1897" s="56"/>
      <c r="BZ1897" s="56"/>
      <c r="CA1897" s="56"/>
      <c r="CB1897" s="56"/>
      <c r="CC1897" s="56"/>
      <c r="CD1897" s="56"/>
      <c r="CE1897" s="56"/>
      <c r="CF1897" s="56"/>
      <c r="CG1897" s="56"/>
      <c r="CH1897" s="56"/>
      <c r="CI1897" s="56"/>
      <c r="CJ1897" s="56"/>
      <c r="CK1897" s="56"/>
      <c r="CL1897" s="56"/>
      <c r="CM1897" s="56"/>
      <c r="CN1897" s="56"/>
      <c r="CO1897" s="56"/>
      <c r="CP1897" s="56"/>
      <c r="CQ1897" s="56"/>
      <c r="CR1897" s="56"/>
      <c r="CS1897" s="56"/>
      <c r="CT1897" s="56"/>
      <c r="CU1897" s="56"/>
      <c r="CV1897" s="56"/>
      <c r="CW1897" s="56"/>
      <c r="CX1897" s="56"/>
      <c r="CY1897" s="56"/>
      <c r="CZ1897" s="56"/>
      <c r="DA1897" s="56"/>
      <c r="DB1897" s="56"/>
      <c r="DC1897" s="56"/>
      <c r="DD1897" s="56"/>
      <c r="DE1897" s="56"/>
      <c r="DF1897" s="56"/>
      <c r="DG1897" s="56"/>
      <c r="DH1897" s="56"/>
      <c r="DI1897" s="56"/>
      <c r="DJ1897" s="56"/>
      <c r="DK1897" s="56"/>
      <c r="DL1897" s="56"/>
      <c r="DM1897" s="56"/>
      <c r="DN1897" s="56"/>
      <c r="DO1897" s="56"/>
      <c r="DP1897" s="56"/>
      <c r="DQ1897" s="56"/>
      <c r="DR1897" s="56"/>
      <c r="DS1897" s="56"/>
      <c r="DT1897" s="56"/>
      <c r="DU1897" s="56"/>
      <c r="DV1897" s="56"/>
      <c r="DW1897" s="56"/>
      <c r="DX1897" s="56"/>
      <c r="DY1897" s="56"/>
      <c r="DZ1897" s="56"/>
      <c r="EA1897" s="56"/>
      <c r="EB1897" s="56"/>
      <c r="EC1897" s="56"/>
      <c r="ED1897" s="56"/>
      <c r="EE1897" s="56"/>
      <c r="EF1897" s="56"/>
      <c r="EG1897" s="56"/>
      <c r="EH1897" s="56"/>
      <c r="EI1897" s="56"/>
      <c r="EJ1897" s="56"/>
      <c r="EK1897" s="56"/>
      <c r="EL1897" s="56"/>
      <c r="EM1897" s="56"/>
      <c r="EN1897" s="56"/>
      <c r="EO1897" s="56"/>
      <c r="EP1897" s="56"/>
      <c r="EQ1897" s="56"/>
      <c r="ER1897" s="56"/>
      <c r="ES1897" s="56"/>
      <c r="ET1897" s="56"/>
      <c r="EU1897" s="56"/>
      <c r="EV1897" s="56"/>
      <c r="EW1897" s="56"/>
      <c r="EX1897" s="56"/>
      <c r="EY1897" s="56"/>
      <c r="EZ1897" s="56"/>
      <c r="FA1897" s="56"/>
      <c r="FB1897" s="56"/>
      <c r="FC1897" s="56"/>
      <c r="FD1897" s="56"/>
      <c r="FE1897" s="56"/>
      <c r="FF1897" s="56"/>
      <c r="FG1897" s="56"/>
      <c r="FH1897" s="56"/>
      <c r="FI1897" s="56"/>
      <c r="FJ1897" s="56"/>
      <c r="FK1897" s="56"/>
      <c r="FL1897" s="56"/>
      <c r="FM1897" s="56"/>
      <c r="FN1897" s="56"/>
      <c r="FO1897" s="56"/>
      <c r="FP1897" s="56"/>
      <c r="FQ1897" s="56"/>
      <c r="FR1897" s="56"/>
      <c r="FS1897" s="56"/>
      <c r="FT1897" s="56"/>
      <c r="FU1897" s="56"/>
      <c r="FV1897" s="56"/>
      <c r="FW1897" s="56"/>
      <c r="FX1897" s="56"/>
      <c r="FY1897" s="56"/>
      <c r="FZ1897" s="56"/>
      <c r="GA1897" s="56"/>
      <c r="GB1897" s="56"/>
      <c r="GC1897" s="56"/>
      <c r="GD1897" s="56"/>
      <c r="GE1897" s="56"/>
      <c r="GF1897" s="56"/>
    </row>
    <row r="1898" spans="1:48" s="18" customFormat="1" ht="17.25" customHeight="1">
      <c r="A1898" s="50"/>
      <c r="B1898" s="93" t="s">
        <v>669</v>
      </c>
      <c r="C1898" s="16"/>
      <c r="D1898" s="52"/>
      <c r="E1898" s="52"/>
      <c r="F1898" s="52"/>
      <c r="G1898" s="52"/>
      <c r="H1898" s="52"/>
      <c r="I1898" s="52"/>
      <c r="J1898" s="52"/>
      <c r="K1898" s="52"/>
      <c r="L1898" s="60">
        <f>SUM(L1899:L1900)</f>
        <v>2</v>
      </c>
      <c r="M1898" s="60">
        <f>SUM(M1899:M1900)</f>
        <v>2</v>
      </c>
      <c r="N1898" s="60">
        <f>SUM(N1899:N1900)</f>
        <v>2</v>
      </c>
      <c r="O1898" s="60">
        <f>SUM(O1899:O1900)</f>
        <v>1</v>
      </c>
      <c r="P1898" s="60">
        <f>SUM(P1899:P1900)</f>
        <v>2</v>
      </c>
      <c r="T1898" s="47"/>
      <c r="U1898" s="47"/>
      <c r="V1898" s="47"/>
      <c r="W1898" s="47"/>
      <c r="X1898" s="47"/>
      <c r="Y1898" s="47"/>
      <c r="Z1898" s="47"/>
      <c r="AA1898" s="47"/>
      <c r="AB1898" s="47"/>
      <c r="AC1898" s="47"/>
      <c r="AD1898" s="47"/>
      <c r="AE1898" s="47"/>
      <c r="AF1898" s="47"/>
      <c r="AG1898" s="47"/>
      <c r="AH1898" s="47"/>
      <c r="AI1898" s="47"/>
      <c r="AJ1898" s="47"/>
      <c r="AK1898" s="47"/>
      <c r="AL1898" s="47"/>
      <c r="AM1898" s="47"/>
      <c r="AN1898" s="47"/>
      <c r="AO1898" s="47"/>
      <c r="AP1898" s="47"/>
      <c r="AQ1898" s="47"/>
      <c r="AR1898" s="47"/>
      <c r="AS1898" s="47"/>
      <c r="AT1898" s="47"/>
      <c r="AU1898" s="47"/>
      <c r="AV1898" s="47"/>
    </row>
    <row r="1899" spans="1:48" s="27" customFormat="1" ht="17.25" customHeight="1">
      <c r="A1899" s="12"/>
      <c r="B1899" s="105" t="s">
        <v>18</v>
      </c>
      <c r="C1899" s="15" t="s">
        <v>19</v>
      </c>
      <c r="D1899" s="51"/>
      <c r="E1899" s="51"/>
      <c r="F1899" s="51">
        <v>10</v>
      </c>
      <c r="G1899" s="51">
        <v>10</v>
      </c>
      <c r="H1899" s="51">
        <v>10</v>
      </c>
      <c r="I1899" s="51">
        <v>10</v>
      </c>
      <c r="J1899" s="51"/>
      <c r="K1899" s="51">
        <v>10</v>
      </c>
      <c r="L1899" s="40">
        <v>1</v>
      </c>
      <c r="M1899" s="40">
        <v>1</v>
      </c>
      <c r="N1899" s="40">
        <v>1</v>
      </c>
      <c r="O1899" s="40">
        <v>1</v>
      </c>
      <c r="P1899" s="40">
        <v>1</v>
      </c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</row>
    <row r="1900" spans="1:48" s="27" customFormat="1" ht="17.25" customHeight="1">
      <c r="A1900" s="12"/>
      <c r="B1900" s="97" t="s">
        <v>1334</v>
      </c>
      <c r="C1900" s="29" t="s">
        <v>1335</v>
      </c>
      <c r="D1900" s="51"/>
      <c r="E1900" s="51"/>
      <c r="F1900" s="51">
        <v>2</v>
      </c>
      <c r="G1900" s="51">
        <v>2</v>
      </c>
      <c r="H1900" s="51">
        <v>2</v>
      </c>
      <c r="I1900" s="51">
        <v>2</v>
      </c>
      <c r="J1900" s="51"/>
      <c r="K1900" s="51">
        <v>2</v>
      </c>
      <c r="L1900" s="40">
        <v>1</v>
      </c>
      <c r="M1900" s="40">
        <v>1</v>
      </c>
      <c r="N1900" s="40">
        <v>1</v>
      </c>
      <c r="O1900" s="40" t="s">
        <v>556</v>
      </c>
      <c r="P1900" s="40">
        <v>1</v>
      </c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</row>
    <row r="1901" spans="1:48" s="18" customFormat="1" ht="17.25" customHeight="1">
      <c r="A1901" s="50"/>
      <c r="B1901" s="93" t="s">
        <v>670</v>
      </c>
      <c r="C1901" s="16"/>
      <c r="D1901" s="52"/>
      <c r="E1901" s="52"/>
      <c r="F1901" s="52"/>
      <c r="G1901" s="52"/>
      <c r="H1901" s="52"/>
      <c r="I1901" s="52"/>
      <c r="J1901" s="52"/>
      <c r="K1901" s="52"/>
      <c r="L1901" s="60" t="str">
        <f>L1902</f>
        <v> -</v>
      </c>
      <c r="M1901" s="60" t="str">
        <f>M1902</f>
        <v> -</v>
      </c>
      <c r="N1901" s="60" t="str">
        <f>N1902</f>
        <v> -</v>
      </c>
      <c r="O1901" s="60">
        <f>O1902</f>
        <v>1</v>
      </c>
      <c r="P1901" s="60">
        <f>P1902</f>
        <v>2</v>
      </c>
      <c r="T1901" s="47"/>
      <c r="U1901" s="47"/>
      <c r="V1901" s="47"/>
      <c r="W1901" s="47"/>
      <c r="X1901" s="47"/>
      <c r="Y1901" s="47"/>
      <c r="Z1901" s="47"/>
      <c r="AA1901" s="47"/>
      <c r="AB1901" s="47"/>
      <c r="AC1901" s="47"/>
      <c r="AD1901" s="47"/>
      <c r="AE1901" s="47"/>
      <c r="AF1901" s="47"/>
      <c r="AG1901" s="47"/>
      <c r="AH1901" s="47"/>
      <c r="AI1901" s="47"/>
      <c r="AJ1901" s="47"/>
      <c r="AK1901" s="47"/>
      <c r="AL1901" s="47"/>
      <c r="AM1901" s="47"/>
      <c r="AN1901" s="47"/>
      <c r="AO1901" s="47"/>
      <c r="AP1901" s="47"/>
      <c r="AQ1901" s="47"/>
      <c r="AR1901" s="47"/>
      <c r="AS1901" s="47"/>
      <c r="AT1901" s="47"/>
      <c r="AU1901" s="47"/>
      <c r="AV1901" s="47"/>
    </row>
    <row r="1902" spans="1:48" s="27" customFormat="1" ht="17.25" customHeight="1">
      <c r="A1902" s="12"/>
      <c r="B1902" s="97" t="s">
        <v>1283</v>
      </c>
      <c r="C1902" s="29">
        <v>27010351</v>
      </c>
      <c r="D1902" s="51"/>
      <c r="E1902" s="51"/>
      <c r="F1902" s="51">
        <v>4</v>
      </c>
      <c r="G1902" s="51">
        <v>4</v>
      </c>
      <c r="H1902" s="51">
        <v>4</v>
      </c>
      <c r="I1902" s="51">
        <v>4</v>
      </c>
      <c r="J1902" s="51"/>
      <c r="K1902" s="51">
        <v>4</v>
      </c>
      <c r="L1902" s="40" t="s">
        <v>556</v>
      </c>
      <c r="M1902" s="40" t="s">
        <v>556</v>
      </c>
      <c r="N1902" s="40" t="s">
        <v>556</v>
      </c>
      <c r="O1902" s="40">
        <v>1</v>
      </c>
      <c r="P1902" s="40">
        <v>2</v>
      </c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</row>
    <row r="1903" spans="1:188" s="57" customFormat="1" ht="18" customHeight="1">
      <c r="A1903" s="13">
        <v>21</v>
      </c>
      <c r="B1903" s="92" t="s">
        <v>283</v>
      </c>
      <c r="C1903" s="45"/>
      <c r="D1903" s="44">
        <v>85</v>
      </c>
      <c r="E1903" s="44"/>
      <c r="F1903" s="44">
        <v>23</v>
      </c>
      <c r="G1903" s="44">
        <v>23</v>
      </c>
      <c r="H1903" s="44">
        <v>23</v>
      </c>
      <c r="I1903" s="44">
        <v>23</v>
      </c>
      <c r="J1903" s="44"/>
      <c r="K1903" s="44">
        <v>23</v>
      </c>
      <c r="L1903" s="44">
        <v>2</v>
      </c>
      <c r="M1903" s="44">
        <v>2</v>
      </c>
      <c r="N1903" s="44">
        <v>2</v>
      </c>
      <c r="O1903" s="44">
        <v>2</v>
      </c>
      <c r="P1903" s="44">
        <v>2</v>
      </c>
      <c r="Q1903" s="54" t="s">
        <v>649</v>
      </c>
      <c r="R1903" s="54">
        <v>1</v>
      </c>
      <c r="S1903" s="55" t="s">
        <v>535</v>
      </c>
      <c r="T1903" s="56"/>
      <c r="U1903" s="56"/>
      <c r="V1903" s="56"/>
      <c r="W1903" s="56"/>
      <c r="X1903" s="56"/>
      <c r="Y1903" s="56"/>
      <c r="Z1903" s="56"/>
      <c r="AA1903" s="56"/>
      <c r="AB1903" s="56"/>
      <c r="AC1903" s="56"/>
      <c r="AD1903" s="56"/>
      <c r="AE1903" s="56"/>
      <c r="AF1903" s="56"/>
      <c r="AG1903" s="56"/>
      <c r="AH1903" s="56"/>
      <c r="AI1903" s="56"/>
      <c r="AJ1903" s="56"/>
      <c r="AK1903" s="56"/>
      <c r="AL1903" s="56"/>
      <c r="AM1903" s="56"/>
      <c r="AN1903" s="56"/>
      <c r="AO1903" s="56"/>
      <c r="AP1903" s="56"/>
      <c r="AQ1903" s="56"/>
      <c r="AR1903" s="56"/>
      <c r="AS1903" s="56"/>
      <c r="AT1903" s="56"/>
      <c r="AU1903" s="56"/>
      <c r="AV1903" s="56"/>
      <c r="AW1903" s="56"/>
      <c r="AX1903" s="56"/>
      <c r="AY1903" s="56"/>
      <c r="AZ1903" s="56"/>
      <c r="BA1903" s="56"/>
      <c r="BB1903" s="56"/>
      <c r="BC1903" s="56"/>
      <c r="BD1903" s="56"/>
      <c r="BE1903" s="56"/>
      <c r="BF1903" s="56"/>
      <c r="BG1903" s="56"/>
      <c r="BH1903" s="56"/>
      <c r="BI1903" s="56"/>
      <c r="BJ1903" s="56"/>
      <c r="BK1903" s="56"/>
      <c r="BL1903" s="56"/>
      <c r="BM1903" s="56"/>
      <c r="BN1903" s="56"/>
      <c r="BO1903" s="56"/>
      <c r="BP1903" s="56"/>
      <c r="BQ1903" s="56"/>
      <c r="BR1903" s="56"/>
      <c r="BS1903" s="56"/>
      <c r="BT1903" s="56"/>
      <c r="BU1903" s="56"/>
      <c r="BV1903" s="56"/>
      <c r="BW1903" s="56"/>
      <c r="BX1903" s="56"/>
      <c r="BY1903" s="56"/>
      <c r="BZ1903" s="56"/>
      <c r="CA1903" s="56"/>
      <c r="CB1903" s="56"/>
      <c r="CC1903" s="56"/>
      <c r="CD1903" s="56"/>
      <c r="CE1903" s="56"/>
      <c r="CF1903" s="56"/>
      <c r="CG1903" s="56"/>
      <c r="CH1903" s="56"/>
      <c r="CI1903" s="56"/>
      <c r="CJ1903" s="56"/>
      <c r="CK1903" s="56"/>
      <c r="CL1903" s="56"/>
      <c r="CM1903" s="56"/>
      <c r="CN1903" s="56"/>
      <c r="CO1903" s="56"/>
      <c r="CP1903" s="56"/>
      <c r="CQ1903" s="56"/>
      <c r="CR1903" s="56"/>
      <c r="CS1903" s="56"/>
      <c r="CT1903" s="56"/>
      <c r="CU1903" s="56"/>
      <c r="CV1903" s="56"/>
      <c r="CW1903" s="56"/>
      <c r="CX1903" s="56"/>
      <c r="CY1903" s="56"/>
      <c r="CZ1903" s="56"/>
      <c r="DA1903" s="56"/>
      <c r="DB1903" s="56"/>
      <c r="DC1903" s="56"/>
      <c r="DD1903" s="56"/>
      <c r="DE1903" s="56"/>
      <c r="DF1903" s="56"/>
      <c r="DG1903" s="56"/>
      <c r="DH1903" s="56"/>
      <c r="DI1903" s="56"/>
      <c r="DJ1903" s="56"/>
      <c r="DK1903" s="56"/>
      <c r="DL1903" s="56"/>
      <c r="DM1903" s="56"/>
      <c r="DN1903" s="56"/>
      <c r="DO1903" s="56"/>
      <c r="DP1903" s="56"/>
      <c r="DQ1903" s="56"/>
      <c r="DR1903" s="56"/>
      <c r="DS1903" s="56"/>
      <c r="DT1903" s="56"/>
      <c r="DU1903" s="56"/>
      <c r="DV1903" s="56"/>
      <c r="DW1903" s="56"/>
      <c r="DX1903" s="56"/>
      <c r="DY1903" s="56"/>
      <c r="DZ1903" s="56"/>
      <c r="EA1903" s="56"/>
      <c r="EB1903" s="56"/>
      <c r="EC1903" s="56"/>
      <c r="ED1903" s="56"/>
      <c r="EE1903" s="56"/>
      <c r="EF1903" s="56"/>
      <c r="EG1903" s="56"/>
      <c r="EH1903" s="56"/>
      <c r="EI1903" s="56"/>
      <c r="EJ1903" s="56"/>
      <c r="EK1903" s="56"/>
      <c r="EL1903" s="56"/>
      <c r="EM1903" s="56"/>
      <c r="EN1903" s="56"/>
      <c r="EO1903" s="56"/>
      <c r="EP1903" s="56"/>
      <c r="EQ1903" s="56"/>
      <c r="ER1903" s="56"/>
      <c r="ES1903" s="56"/>
      <c r="ET1903" s="56"/>
      <c r="EU1903" s="56"/>
      <c r="EV1903" s="56"/>
      <c r="EW1903" s="56"/>
      <c r="EX1903" s="56"/>
      <c r="EY1903" s="56"/>
      <c r="EZ1903" s="56"/>
      <c r="FA1903" s="56"/>
      <c r="FB1903" s="56"/>
      <c r="FC1903" s="56"/>
      <c r="FD1903" s="56"/>
      <c r="FE1903" s="56"/>
      <c r="FF1903" s="56"/>
      <c r="FG1903" s="56"/>
      <c r="FH1903" s="56"/>
      <c r="FI1903" s="56"/>
      <c r="FJ1903" s="56"/>
      <c r="FK1903" s="56"/>
      <c r="FL1903" s="56"/>
      <c r="FM1903" s="56"/>
      <c r="FN1903" s="56"/>
      <c r="FO1903" s="56"/>
      <c r="FP1903" s="56"/>
      <c r="FQ1903" s="56"/>
      <c r="FR1903" s="56"/>
      <c r="FS1903" s="56"/>
      <c r="FT1903" s="56"/>
      <c r="FU1903" s="56"/>
      <c r="FV1903" s="56"/>
      <c r="FW1903" s="56"/>
      <c r="FX1903" s="56"/>
      <c r="FY1903" s="56"/>
      <c r="FZ1903" s="56"/>
      <c r="GA1903" s="56"/>
      <c r="GB1903" s="56"/>
      <c r="GC1903" s="56"/>
      <c r="GD1903" s="56"/>
      <c r="GE1903" s="56"/>
      <c r="GF1903" s="56"/>
    </row>
    <row r="1904" spans="1:48" s="18" customFormat="1" ht="17.25" customHeight="1">
      <c r="A1904" s="50"/>
      <c r="B1904" s="93" t="s">
        <v>670</v>
      </c>
      <c r="C1904" s="16"/>
      <c r="D1904" s="52"/>
      <c r="E1904" s="52"/>
      <c r="F1904" s="52"/>
      <c r="G1904" s="52"/>
      <c r="H1904" s="52"/>
      <c r="I1904" s="52"/>
      <c r="J1904" s="52"/>
      <c r="K1904" s="52"/>
      <c r="L1904" s="60">
        <v>2</v>
      </c>
      <c r="M1904" s="60">
        <v>2</v>
      </c>
      <c r="N1904" s="60">
        <v>2</v>
      </c>
      <c r="O1904" s="60">
        <v>2</v>
      </c>
      <c r="P1904" s="60">
        <v>2</v>
      </c>
      <c r="T1904" s="47"/>
      <c r="U1904" s="47"/>
      <c r="V1904" s="47"/>
      <c r="W1904" s="47"/>
      <c r="X1904" s="47"/>
      <c r="Y1904" s="47"/>
      <c r="Z1904" s="47"/>
      <c r="AA1904" s="47"/>
      <c r="AB1904" s="47"/>
      <c r="AC1904" s="47"/>
      <c r="AD1904" s="47"/>
      <c r="AE1904" s="47"/>
      <c r="AF1904" s="47"/>
      <c r="AG1904" s="47"/>
      <c r="AH1904" s="47"/>
      <c r="AI1904" s="47"/>
      <c r="AJ1904" s="47"/>
      <c r="AK1904" s="47"/>
      <c r="AL1904" s="47"/>
      <c r="AM1904" s="47"/>
      <c r="AN1904" s="47"/>
      <c r="AO1904" s="47"/>
      <c r="AP1904" s="47"/>
      <c r="AQ1904" s="47"/>
      <c r="AR1904" s="47"/>
      <c r="AS1904" s="47"/>
      <c r="AT1904" s="47"/>
      <c r="AU1904" s="47"/>
      <c r="AV1904" s="47"/>
    </row>
    <row r="1905" spans="1:48" s="27" customFormat="1" ht="17.25" customHeight="1">
      <c r="A1905" s="12"/>
      <c r="B1905" s="97" t="s">
        <v>1283</v>
      </c>
      <c r="C1905" s="29">
        <v>27010351</v>
      </c>
      <c r="D1905" s="51"/>
      <c r="E1905" s="51"/>
      <c r="F1905" s="51">
        <v>4</v>
      </c>
      <c r="G1905" s="51">
        <v>4</v>
      </c>
      <c r="H1905" s="51">
        <v>4</v>
      </c>
      <c r="I1905" s="51">
        <v>4</v>
      </c>
      <c r="J1905" s="51"/>
      <c r="K1905" s="51">
        <v>4</v>
      </c>
      <c r="L1905" s="40">
        <v>1</v>
      </c>
      <c r="M1905" s="40">
        <v>1</v>
      </c>
      <c r="N1905" s="40">
        <v>1</v>
      </c>
      <c r="O1905" s="40">
        <v>1</v>
      </c>
      <c r="P1905" s="40">
        <v>1</v>
      </c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</row>
    <row r="1906" spans="1:48" s="27" customFormat="1" ht="31.5" customHeight="1">
      <c r="A1906" s="12"/>
      <c r="B1906" s="97" t="s">
        <v>280</v>
      </c>
      <c r="C1906" s="66" t="s">
        <v>281</v>
      </c>
      <c r="D1906" s="51"/>
      <c r="E1906" s="51"/>
      <c r="F1906" s="51"/>
      <c r="G1906" s="51"/>
      <c r="H1906" s="51"/>
      <c r="I1906" s="51"/>
      <c r="J1906" s="51"/>
      <c r="K1906" s="51"/>
      <c r="L1906" s="40">
        <v>1</v>
      </c>
      <c r="M1906" s="40">
        <v>1</v>
      </c>
      <c r="N1906" s="40">
        <v>1</v>
      </c>
      <c r="O1906" s="40">
        <v>1</v>
      </c>
      <c r="P1906" s="40">
        <v>1</v>
      </c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</row>
    <row r="1907" spans="1:188" s="57" customFormat="1" ht="18" customHeight="1">
      <c r="A1907" s="13">
        <v>22</v>
      </c>
      <c r="B1907" s="92" t="s">
        <v>284</v>
      </c>
      <c r="C1907" s="45"/>
      <c r="D1907" s="44">
        <v>47</v>
      </c>
      <c r="E1907" s="44"/>
      <c r="F1907" s="44">
        <v>23</v>
      </c>
      <c r="G1907" s="44">
        <v>23</v>
      </c>
      <c r="H1907" s="44">
        <v>23</v>
      </c>
      <c r="I1907" s="44">
        <v>23</v>
      </c>
      <c r="J1907" s="44"/>
      <c r="K1907" s="44">
        <v>23</v>
      </c>
      <c r="L1907" s="44">
        <v>1</v>
      </c>
      <c r="M1907" s="44">
        <v>1</v>
      </c>
      <c r="N1907" s="44">
        <v>1</v>
      </c>
      <c r="O1907" s="44">
        <v>1</v>
      </c>
      <c r="P1907" s="44">
        <v>1</v>
      </c>
      <c r="Q1907" s="54" t="s">
        <v>649</v>
      </c>
      <c r="R1907" s="54">
        <v>1</v>
      </c>
      <c r="S1907" s="55" t="s">
        <v>535</v>
      </c>
      <c r="T1907" s="56"/>
      <c r="U1907" s="56"/>
      <c r="V1907" s="56"/>
      <c r="W1907" s="56"/>
      <c r="X1907" s="56"/>
      <c r="Y1907" s="56"/>
      <c r="Z1907" s="56"/>
      <c r="AA1907" s="56"/>
      <c r="AB1907" s="56"/>
      <c r="AC1907" s="56"/>
      <c r="AD1907" s="56"/>
      <c r="AE1907" s="56"/>
      <c r="AF1907" s="56"/>
      <c r="AG1907" s="56"/>
      <c r="AH1907" s="56"/>
      <c r="AI1907" s="56"/>
      <c r="AJ1907" s="56"/>
      <c r="AK1907" s="56"/>
      <c r="AL1907" s="56"/>
      <c r="AM1907" s="56"/>
      <c r="AN1907" s="56"/>
      <c r="AO1907" s="56"/>
      <c r="AP1907" s="56"/>
      <c r="AQ1907" s="56"/>
      <c r="AR1907" s="56"/>
      <c r="AS1907" s="56"/>
      <c r="AT1907" s="56"/>
      <c r="AU1907" s="56"/>
      <c r="AV1907" s="56"/>
      <c r="AW1907" s="56"/>
      <c r="AX1907" s="56"/>
      <c r="AY1907" s="56"/>
      <c r="AZ1907" s="56"/>
      <c r="BA1907" s="56"/>
      <c r="BB1907" s="56"/>
      <c r="BC1907" s="56"/>
      <c r="BD1907" s="56"/>
      <c r="BE1907" s="56"/>
      <c r="BF1907" s="56"/>
      <c r="BG1907" s="56"/>
      <c r="BH1907" s="56"/>
      <c r="BI1907" s="56"/>
      <c r="BJ1907" s="56"/>
      <c r="BK1907" s="56"/>
      <c r="BL1907" s="56"/>
      <c r="BM1907" s="56"/>
      <c r="BN1907" s="56"/>
      <c r="BO1907" s="56"/>
      <c r="BP1907" s="56"/>
      <c r="BQ1907" s="56"/>
      <c r="BR1907" s="56"/>
      <c r="BS1907" s="56"/>
      <c r="BT1907" s="56"/>
      <c r="BU1907" s="56"/>
      <c r="BV1907" s="56"/>
      <c r="BW1907" s="56"/>
      <c r="BX1907" s="56"/>
      <c r="BY1907" s="56"/>
      <c r="BZ1907" s="56"/>
      <c r="CA1907" s="56"/>
      <c r="CB1907" s="56"/>
      <c r="CC1907" s="56"/>
      <c r="CD1907" s="56"/>
      <c r="CE1907" s="56"/>
      <c r="CF1907" s="56"/>
      <c r="CG1907" s="56"/>
      <c r="CH1907" s="56"/>
      <c r="CI1907" s="56"/>
      <c r="CJ1907" s="56"/>
      <c r="CK1907" s="56"/>
      <c r="CL1907" s="56"/>
      <c r="CM1907" s="56"/>
      <c r="CN1907" s="56"/>
      <c r="CO1907" s="56"/>
      <c r="CP1907" s="56"/>
      <c r="CQ1907" s="56"/>
      <c r="CR1907" s="56"/>
      <c r="CS1907" s="56"/>
      <c r="CT1907" s="56"/>
      <c r="CU1907" s="56"/>
      <c r="CV1907" s="56"/>
      <c r="CW1907" s="56"/>
      <c r="CX1907" s="56"/>
      <c r="CY1907" s="56"/>
      <c r="CZ1907" s="56"/>
      <c r="DA1907" s="56"/>
      <c r="DB1907" s="56"/>
      <c r="DC1907" s="56"/>
      <c r="DD1907" s="56"/>
      <c r="DE1907" s="56"/>
      <c r="DF1907" s="56"/>
      <c r="DG1907" s="56"/>
      <c r="DH1907" s="56"/>
      <c r="DI1907" s="56"/>
      <c r="DJ1907" s="56"/>
      <c r="DK1907" s="56"/>
      <c r="DL1907" s="56"/>
      <c r="DM1907" s="56"/>
      <c r="DN1907" s="56"/>
      <c r="DO1907" s="56"/>
      <c r="DP1907" s="56"/>
      <c r="DQ1907" s="56"/>
      <c r="DR1907" s="56"/>
      <c r="DS1907" s="56"/>
      <c r="DT1907" s="56"/>
      <c r="DU1907" s="56"/>
      <c r="DV1907" s="56"/>
      <c r="DW1907" s="56"/>
      <c r="DX1907" s="56"/>
      <c r="DY1907" s="56"/>
      <c r="DZ1907" s="56"/>
      <c r="EA1907" s="56"/>
      <c r="EB1907" s="56"/>
      <c r="EC1907" s="56"/>
      <c r="ED1907" s="56"/>
      <c r="EE1907" s="56"/>
      <c r="EF1907" s="56"/>
      <c r="EG1907" s="56"/>
      <c r="EH1907" s="56"/>
      <c r="EI1907" s="56"/>
      <c r="EJ1907" s="56"/>
      <c r="EK1907" s="56"/>
      <c r="EL1907" s="56"/>
      <c r="EM1907" s="56"/>
      <c r="EN1907" s="56"/>
      <c r="EO1907" s="56"/>
      <c r="EP1907" s="56"/>
      <c r="EQ1907" s="56"/>
      <c r="ER1907" s="56"/>
      <c r="ES1907" s="56"/>
      <c r="ET1907" s="56"/>
      <c r="EU1907" s="56"/>
      <c r="EV1907" s="56"/>
      <c r="EW1907" s="56"/>
      <c r="EX1907" s="56"/>
      <c r="EY1907" s="56"/>
      <c r="EZ1907" s="56"/>
      <c r="FA1907" s="56"/>
      <c r="FB1907" s="56"/>
      <c r="FC1907" s="56"/>
      <c r="FD1907" s="56"/>
      <c r="FE1907" s="56"/>
      <c r="FF1907" s="56"/>
      <c r="FG1907" s="56"/>
      <c r="FH1907" s="56"/>
      <c r="FI1907" s="56"/>
      <c r="FJ1907" s="56"/>
      <c r="FK1907" s="56"/>
      <c r="FL1907" s="56"/>
      <c r="FM1907" s="56"/>
      <c r="FN1907" s="56"/>
      <c r="FO1907" s="56"/>
      <c r="FP1907" s="56"/>
      <c r="FQ1907" s="56"/>
      <c r="FR1907" s="56"/>
      <c r="FS1907" s="56"/>
      <c r="FT1907" s="56"/>
      <c r="FU1907" s="56"/>
      <c r="FV1907" s="56"/>
      <c r="FW1907" s="56"/>
      <c r="FX1907" s="56"/>
      <c r="FY1907" s="56"/>
      <c r="FZ1907" s="56"/>
      <c r="GA1907" s="56"/>
      <c r="GB1907" s="56"/>
      <c r="GC1907" s="56"/>
      <c r="GD1907" s="56"/>
      <c r="GE1907" s="56"/>
      <c r="GF1907" s="56"/>
    </row>
    <row r="1908" spans="1:48" s="18" customFormat="1" ht="17.25" customHeight="1">
      <c r="A1908" s="50"/>
      <c r="B1908" s="93" t="s">
        <v>670</v>
      </c>
      <c r="C1908" s="16"/>
      <c r="D1908" s="52"/>
      <c r="E1908" s="52"/>
      <c r="F1908" s="52"/>
      <c r="G1908" s="52"/>
      <c r="H1908" s="52"/>
      <c r="I1908" s="52"/>
      <c r="J1908" s="52"/>
      <c r="K1908" s="52"/>
      <c r="L1908" s="60">
        <v>1</v>
      </c>
      <c r="M1908" s="60">
        <v>1</v>
      </c>
      <c r="N1908" s="60">
        <v>1</v>
      </c>
      <c r="O1908" s="60">
        <v>1</v>
      </c>
      <c r="P1908" s="60">
        <v>1</v>
      </c>
      <c r="T1908" s="47"/>
      <c r="U1908" s="47"/>
      <c r="V1908" s="47"/>
      <c r="W1908" s="47"/>
      <c r="X1908" s="47"/>
      <c r="Y1908" s="47"/>
      <c r="Z1908" s="47"/>
      <c r="AA1908" s="47"/>
      <c r="AB1908" s="47"/>
      <c r="AC1908" s="47"/>
      <c r="AD1908" s="47"/>
      <c r="AE1908" s="47"/>
      <c r="AF1908" s="47"/>
      <c r="AG1908" s="47"/>
      <c r="AH1908" s="47"/>
      <c r="AI1908" s="47"/>
      <c r="AJ1908" s="47"/>
      <c r="AK1908" s="47"/>
      <c r="AL1908" s="47"/>
      <c r="AM1908" s="47"/>
      <c r="AN1908" s="47"/>
      <c r="AO1908" s="47"/>
      <c r="AP1908" s="47"/>
      <c r="AQ1908" s="47"/>
      <c r="AR1908" s="47"/>
      <c r="AS1908" s="47"/>
      <c r="AT1908" s="47"/>
      <c r="AU1908" s="47"/>
      <c r="AV1908" s="47"/>
    </row>
    <row r="1909" spans="1:48" s="27" customFormat="1" ht="17.25" customHeight="1">
      <c r="A1909" s="12"/>
      <c r="B1909" s="97" t="s">
        <v>1283</v>
      </c>
      <c r="C1909" s="29">
        <v>27010351</v>
      </c>
      <c r="D1909" s="51"/>
      <c r="E1909" s="51"/>
      <c r="F1909" s="51">
        <v>4</v>
      </c>
      <c r="G1909" s="51">
        <v>4</v>
      </c>
      <c r="H1909" s="51">
        <v>4</v>
      </c>
      <c r="I1909" s="51">
        <v>4</v>
      </c>
      <c r="J1909" s="51"/>
      <c r="K1909" s="51">
        <v>4</v>
      </c>
      <c r="L1909" s="40">
        <v>1</v>
      </c>
      <c r="M1909" s="40">
        <v>1</v>
      </c>
      <c r="N1909" s="40">
        <v>1</v>
      </c>
      <c r="O1909" s="40">
        <v>1</v>
      </c>
      <c r="P1909" s="40">
        <v>1</v>
      </c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</row>
    <row r="1910" spans="1:19" ht="15" customHeight="1">
      <c r="A1910" s="399" t="s">
        <v>664</v>
      </c>
      <c r="B1910" s="399"/>
      <c r="C1910" s="399"/>
      <c r="D1910" s="399"/>
      <c r="E1910" s="399"/>
      <c r="F1910" s="399"/>
      <c r="G1910" s="399"/>
      <c r="H1910" s="399"/>
      <c r="I1910" s="399"/>
      <c r="J1910" s="399"/>
      <c r="K1910" s="399"/>
      <c r="L1910" s="399"/>
      <c r="M1910" s="399"/>
      <c r="N1910" s="399"/>
      <c r="O1910" s="399"/>
      <c r="P1910" s="399"/>
      <c r="Q1910" s="20"/>
      <c r="R1910" s="20"/>
      <c r="S1910" s="7"/>
    </row>
    <row r="1911" spans="1:19" ht="13.5" customHeight="1">
      <c r="A1911" s="400" t="s">
        <v>676</v>
      </c>
      <c r="B1911" s="400"/>
      <c r="C1911" s="400"/>
      <c r="D1911" s="400"/>
      <c r="E1911" s="400"/>
      <c r="F1911" s="400"/>
      <c r="G1911" s="400"/>
      <c r="H1911" s="400"/>
      <c r="I1911" s="400"/>
      <c r="J1911" s="400"/>
      <c r="K1911" s="400"/>
      <c r="L1911" s="400"/>
      <c r="M1911" s="400"/>
      <c r="N1911" s="400"/>
      <c r="O1911" s="400"/>
      <c r="P1911" s="400"/>
      <c r="Q1911" s="21"/>
      <c r="R1911" s="21"/>
      <c r="S1911" s="8"/>
    </row>
    <row r="1912" spans="1:188" s="57" customFormat="1" ht="16.5" customHeight="1">
      <c r="A1912" s="13">
        <v>23</v>
      </c>
      <c r="B1912" s="92" t="s">
        <v>251</v>
      </c>
      <c r="C1912" s="45"/>
      <c r="D1912" s="44">
        <v>253</v>
      </c>
      <c r="E1912" s="44"/>
      <c r="F1912" s="44">
        <v>250</v>
      </c>
      <c r="G1912" s="44">
        <v>273</v>
      </c>
      <c r="H1912" s="44">
        <v>277</v>
      </c>
      <c r="I1912" s="44">
        <v>284</v>
      </c>
      <c r="J1912" s="44"/>
      <c r="K1912" s="44">
        <v>287</v>
      </c>
      <c r="L1912" s="44">
        <f>SUM(L1913,L1916)</f>
        <v>20</v>
      </c>
      <c r="M1912" s="44">
        <f>SUM(M1913,M1916)</f>
        <v>17</v>
      </c>
      <c r="N1912" s="44">
        <f>SUM(N1913,N1916)</f>
        <v>15</v>
      </c>
      <c r="O1912" s="44">
        <f>SUM(O1913,O1916)</f>
        <v>15</v>
      </c>
      <c r="P1912" s="44">
        <f>SUM(P1913,P1916)</f>
        <v>15</v>
      </c>
      <c r="Q1912" s="54" t="s">
        <v>648</v>
      </c>
      <c r="R1912" s="54">
        <v>2</v>
      </c>
      <c r="S1912" s="55" t="s">
        <v>443</v>
      </c>
      <c r="T1912" s="56"/>
      <c r="U1912" s="56"/>
      <c r="V1912" s="56"/>
      <c r="W1912" s="56"/>
      <c r="X1912" s="56"/>
      <c r="Y1912" s="56"/>
      <c r="Z1912" s="56"/>
      <c r="AA1912" s="56"/>
      <c r="AB1912" s="56"/>
      <c r="AC1912" s="56"/>
      <c r="AD1912" s="56"/>
      <c r="AE1912" s="56"/>
      <c r="AF1912" s="56"/>
      <c r="AG1912" s="56"/>
      <c r="AH1912" s="56"/>
      <c r="AI1912" s="56"/>
      <c r="AJ1912" s="56"/>
      <c r="AK1912" s="56"/>
      <c r="AL1912" s="56"/>
      <c r="AM1912" s="56"/>
      <c r="AN1912" s="56"/>
      <c r="AO1912" s="56"/>
      <c r="AP1912" s="56"/>
      <c r="AQ1912" s="56"/>
      <c r="AR1912" s="56"/>
      <c r="AS1912" s="56"/>
      <c r="AT1912" s="56"/>
      <c r="AU1912" s="56"/>
      <c r="AV1912" s="56"/>
      <c r="AW1912" s="56"/>
      <c r="AX1912" s="56"/>
      <c r="AY1912" s="56"/>
      <c r="AZ1912" s="56"/>
      <c r="BA1912" s="56"/>
      <c r="BB1912" s="56"/>
      <c r="BC1912" s="56"/>
      <c r="BD1912" s="56"/>
      <c r="BE1912" s="56"/>
      <c r="BF1912" s="56"/>
      <c r="BG1912" s="56"/>
      <c r="BH1912" s="56"/>
      <c r="BI1912" s="56"/>
      <c r="BJ1912" s="56"/>
      <c r="BK1912" s="56"/>
      <c r="BL1912" s="56"/>
      <c r="BM1912" s="56"/>
      <c r="BN1912" s="56"/>
      <c r="BO1912" s="56"/>
      <c r="BP1912" s="56"/>
      <c r="BQ1912" s="56"/>
      <c r="BR1912" s="56"/>
      <c r="BS1912" s="56"/>
      <c r="BT1912" s="56"/>
      <c r="BU1912" s="56"/>
      <c r="BV1912" s="56"/>
      <c r="BW1912" s="56"/>
      <c r="BX1912" s="56"/>
      <c r="BY1912" s="56"/>
      <c r="BZ1912" s="56"/>
      <c r="CA1912" s="56"/>
      <c r="CB1912" s="56"/>
      <c r="CC1912" s="56"/>
      <c r="CD1912" s="56"/>
      <c r="CE1912" s="56"/>
      <c r="CF1912" s="56"/>
      <c r="CG1912" s="56"/>
      <c r="CH1912" s="56"/>
      <c r="CI1912" s="56"/>
      <c r="CJ1912" s="56"/>
      <c r="CK1912" s="56"/>
      <c r="CL1912" s="56"/>
      <c r="CM1912" s="56"/>
      <c r="CN1912" s="56"/>
      <c r="CO1912" s="56"/>
      <c r="CP1912" s="56"/>
      <c r="CQ1912" s="56"/>
      <c r="CR1912" s="56"/>
      <c r="CS1912" s="56"/>
      <c r="CT1912" s="56"/>
      <c r="CU1912" s="56"/>
      <c r="CV1912" s="56"/>
      <c r="CW1912" s="56"/>
      <c r="CX1912" s="56"/>
      <c r="CY1912" s="56"/>
      <c r="CZ1912" s="56"/>
      <c r="DA1912" s="56"/>
      <c r="DB1912" s="56"/>
      <c r="DC1912" s="56"/>
      <c r="DD1912" s="56"/>
      <c r="DE1912" s="56"/>
      <c r="DF1912" s="56"/>
      <c r="DG1912" s="56"/>
      <c r="DH1912" s="56"/>
      <c r="DI1912" s="56"/>
      <c r="DJ1912" s="56"/>
      <c r="DK1912" s="56"/>
      <c r="DL1912" s="56"/>
      <c r="DM1912" s="56"/>
      <c r="DN1912" s="56"/>
      <c r="DO1912" s="56"/>
      <c r="DP1912" s="56"/>
      <c r="DQ1912" s="56"/>
      <c r="DR1912" s="56"/>
      <c r="DS1912" s="56"/>
      <c r="DT1912" s="56"/>
      <c r="DU1912" s="56"/>
      <c r="DV1912" s="56"/>
      <c r="DW1912" s="56"/>
      <c r="DX1912" s="56"/>
      <c r="DY1912" s="56"/>
      <c r="DZ1912" s="56"/>
      <c r="EA1912" s="56"/>
      <c r="EB1912" s="56"/>
      <c r="EC1912" s="56"/>
      <c r="ED1912" s="56"/>
      <c r="EE1912" s="56"/>
      <c r="EF1912" s="56"/>
      <c r="EG1912" s="56"/>
      <c r="EH1912" s="56"/>
      <c r="EI1912" s="56"/>
      <c r="EJ1912" s="56"/>
      <c r="EK1912" s="56"/>
      <c r="EL1912" s="56"/>
      <c r="EM1912" s="56"/>
      <c r="EN1912" s="56"/>
      <c r="EO1912" s="56"/>
      <c r="EP1912" s="56"/>
      <c r="EQ1912" s="56"/>
      <c r="ER1912" s="56"/>
      <c r="ES1912" s="56"/>
      <c r="ET1912" s="56"/>
      <c r="EU1912" s="56"/>
      <c r="EV1912" s="56"/>
      <c r="EW1912" s="56"/>
      <c r="EX1912" s="56"/>
      <c r="EY1912" s="56"/>
      <c r="EZ1912" s="56"/>
      <c r="FA1912" s="56"/>
      <c r="FB1912" s="56"/>
      <c r="FC1912" s="56"/>
      <c r="FD1912" s="56"/>
      <c r="FE1912" s="56"/>
      <c r="FF1912" s="56"/>
      <c r="FG1912" s="56"/>
      <c r="FH1912" s="56"/>
      <c r="FI1912" s="56"/>
      <c r="FJ1912" s="56"/>
      <c r="FK1912" s="56"/>
      <c r="FL1912" s="56"/>
      <c r="FM1912" s="56"/>
      <c r="FN1912" s="56"/>
      <c r="FO1912" s="56"/>
      <c r="FP1912" s="56"/>
      <c r="FQ1912" s="56"/>
      <c r="FR1912" s="56"/>
      <c r="FS1912" s="56"/>
      <c r="FT1912" s="56"/>
      <c r="FU1912" s="56"/>
      <c r="FV1912" s="56"/>
      <c r="FW1912" s="56"/>
      <c r="FX1912" s="56"/>
      <c r="FY1912" s="56"/>
      <c r="FZ1912" s="56"/>
      <c r="GA1912" s="56"/>
      <c r="GB1912" s="56"/>
      <c r="GC1912" s="56"/>
      <c r="GD1912" s="56"/>
      <c r="GE1912" s="56"/>
      <c r="GF1912" s="56"/>
    </row>
    <row r="1913" spans="1:48" s="18" customFormat="1" ht="16.5" customHeight="1">
      <c r="A1913" s="50"/>
      <c r="B1913" s="93" t="s">
        <v>669</v>
      </c>
      <c r="C1913" s="16"/>
      <c r="D1913" s="52"/>
      <c r="E1913" s="52"/>
      <c r="F1913" s="52"/>
      <c r="G1913" s="52"/>
      <c r="H1913" s="52"/>
      <c r="I1913" s="52"/>
      <c r="J1913" s="52"/>
      <c r="K1913" s="52"/>
      <c r="L1913" s="60">
        <f>SUM(L1914:L1915)</f>
        <v>13</v>
      </c>
      <c r="M1913" s="60">
        <f>SUM(M1914:M1915)</f>
        <v>10</v>
      </c>
      <c r="N1913" s="60">
        <f>SUM(N1914:N1915)</f>
        <v>10</v>
      </c>
      <c r="O1913" s="60">
        <f>SUM(O1914:O1915)</f>
        <v>10</v>
      </c>
      <c r="P1913" s="60">
        <f>SUM(P1914:P1915)</f>
        <v>10</v>
      </c>
      <c r="Q1913" s="23"/>
      <c r="R1913" s="23"/>
      <c r="S1913" s="17"/>
      <c r="T1913" s="47"/>
      <c r="U1913" s="47"/>
      <c r="V1913" s="47"/>
      <c r="W1913" s="47"/>
      <c r="X1913" s="47"/>
      <c r="Y1913" s="47"/>
      <c r="Z1913" s="47"/>
      <c r="AA1913" s="47"/>
      <c r="AB1913" s="47"/>
      <c r="AC1913" s="47"/>
      <c r="AD1913" s="47"/>
      <c r="AE1913" s="47"/>
      <c r="AF1913" s="47"/>
      <c r="AG1913" s="47"/>
      <c r="AH1913" s="47"/>
      <c r="AI1913" s="47"/>
      <c r="AJ1913" s="47"/>
      <c r="AK1913" s="47"/>
      <c r="AL1913" s="47"/>
      <c r="AM1913" s="47"/>
      <c r="AN1913" s="47"/>
      <c r="AO1913" s="47"/>
      <c r="AP1913" s="47"/>
      <c r="AQ1913" s="47"/>
      <c r="AR1913" s="47"/>
      <c r="AS1913" s="47"/>
      <c r="AT1913" s="47"/>
      <c r="AU1913" s="47"/>
      <c r="AV1913" s="47"/>
    </row>
    <row r="1914" spans="1:48" s="27" customFormat="1" ht="16.5" customHeight="1">
      <c r="A1914" s="12"/>
      <c r="B1914" s="97" t="s">
        <v>599</v>
      </c>
      <c r="C1914" s="15" t="s">
        <v>600</v>
      </c>
      <c r="D1914" s="51"/>
      <c r="E1914" s="40"/>
      <c r="F1914" s="40">
        <v>14</v>
      </c>
      <c r="G1914" s="40">
        <v>16</v>
      </c>
      <c r="H1914" s="40">
        <v>15</v>
      </c>
      <c r="I1914" s="40">
        <v>15</v>
      </c>
      <c r="J1914" s="40"/>
      <c r="K1914" s="40">
        <v>15</v>
      </c>
      <c r="L1914" s="40">
        <v>7</v>
      </c>
      <c r="M1914" s="40">
        <v>5</v>
      </c>
      <c r="N1914" s="40">
        <v>5</v>
      </c>
      <c r="O1914" s="40">
        <v>5</v>
      </c>
      <c r="P1914" s="40">
        <v>5</v>
      </c>
      <c r="Q1914" s="30"/>
      <c r="R1914" s="30"/>
      <c r="S1914" s="30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</row>
    <row r="1915" spans="1:48" s="27" customFormat="1" ht="16.5" customHeight="1">
      <c r="A1915" s="12"/>
      <c r="B1915" s="97" t="s">
        <v>930</v>
      </c>
      <c r="C1915" s="29" t="s">
        <v>931</v>
      </c>
      <c r="D1915" s="51"/>
      <c r="E1915" s="40"/>
      <c r="F1915" s="40"/>
      <c r="G1915" s="40"/>
      <c r="H1915" s="40"/>
      <c r="I1915" s="40"/>
      <c r="J1915" s="40"/>
      <c r="K1915" s="40"/>
      <c r="L1915" s="40">
        <v>6</v>
      </c>
      <c r="M1915" s="40">
        <v>5</v>
      </c>
      <c r="N1915" s="40">
        <v>5</v>
      </c>
      <c r="O1915" s="40">
        <v>5</v>
      </c>
      <c r="P1915" s="40">
        <v>5</v>
      </c>
      <c r="Q1915" s="30"/>
      <c r="R1915" s="30"/>
      <c r="S1915" s="30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</row>
    <row r="1916" spans="1:48" s="18" customFormat="1" ht="16.5" customHeight="1">
      <c r="A1916" s="50"/>
      <c r="B1916" s="93" t="s">
        <v>670</v>
      </c>
      <c r="C1916" s="16"/>
      <c r="D1916" s="52"/>
      <c r="E1916" s="51"/>
      <c r="F1916" s="52"/>
      <c r="G1916" s="52"/>
      <c r="H1916" s="52"/>
      <c r="I1916" s="52"/>
      <c r="J1916" s="52"/>
      <c r="K1916" s="52"/>
      <c r="L1916" s="60">
        <f>L1917</f>
        <v>7</v>
      </c>
      <c r="M1916" s="60">
        <f>M1917</f>
        <v>7</v>
      </c>
      <c r="N1916" s="60">
        <f>N1917</f>
        <v>5</v>
      </c>
      <c r="O1916" s="60">
        <f>O1917</f>
        <v>5</v>
      </c>
      <c r="P1916" s="60">
        <f>P1917</f>
        <v>5</v>
      </c>
      <c r="T1916" s="47"/>
      <c r="U1916" s="47"/>
      <c r="V1916" s="47"/>
      <c r="W1916" s="47"/>
      <c r="X1916" s="47"/>
      <c r="Y1916" s="47"/>
      <c r="Z1916" s="47"/>
      <c r="AA1916" s="47"/>
      <c r="AB1916" s="47"/>
      <c r="AC1916" s="47"/>
      <c r="AD1916" s="47"/>
      <c r="AE1916" s="47"/>
      <c r="AF1916" s="47"/>
      <c r="AG1916" s="47"/>
      <c r="AH1916" s="47"/>
      <c r="AI1916" s="47"/>
      <c r="AJ1916" s="47"/>
      <c r="AK1916" s="47"/>
      <c r="AL1916" s="47"/>
      <c r="AM1916" s="47"/>
      <c r="AN1916" s="47"/>
      <c r="AO1916" s="47"/>
      <c r="AP1916" s="47"/>
      <c r="AQ1916" s="47"/>
      <c r="AR1916" s="47"/>
      <c r="AS1916" s="47"/>
      <c r="AT1916" s="47"/>
      <c r="AU1916" s="47"/>
      <c r="AV1916" s="47"/>
    </row>
    <row r="1917" spans="1:187" s="5" customFormat="1" ht="16.5" customHeight="1">
      <c r="A1917" s="12"/>
      <c r="B1917" s="111" t="s">
        <v>422</v>
      </c>
      <c r="C1917" s="15" t="s">
        <v>423</v>
      </c>
      <c r="D1917" s="40"/>
      <c r="E1917" s="40"/>
      <c r="F1917" s="40"/>
      <c r="G1917" s="40"/>
      <c r="H1917" s="40"/>
      <c r="I1917" s="40"/>
      <c r="J1917" s="40"/>
      <c r="K1917" s="40"/>
      <c r="L1917" s="40">
        <v>7</v>
      </c>
      <c r="M1917" s="40">
        <v>7</v>
      </c>
      <c r="N1917" s="40">
        <v>5</v>
      </c>
      <c r="O1917" s="40">
        <v>5</v>
      </c>
      <c r="P1917" s="40">
        <v>5</v>
      </c>
      <c r="Q1917" s="22"/>
      <c r="R1917" s="22"/>
      <c r="S1917" s="31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  <c r="BH1917" s="4"/>
      <c r="BI1917" s="4"/>
      <c r="BJ1917" s="4"/>
      <c r="BK1917" s="4"/>
      <c r="BL1917" s="4"/>
      <c r="BM1917" s="4"/>
      <c r="BN1917" s="4"/>
      <c r="BO1917" s="4"/>
      <c r="BP1917" s="4"/>
      <c r="BQ1917" s="4"/>
      <c r="BR1917" s="4"/>
      <c r="BS1917" s="4"/>
      <c r="BT1917" s="4"/>
      <c r="BU1917" s="4"/>
      <c r="BV1917" s="4"/>
      <c r="BW1917" s="4"/>
      <c r="BX1917" s="4"/>
      <c r="BY1917" s="4"/>
      <c r="BZ1917" s="4"/>
      <c r="CA1917" s="4"/>
      <c r="CB1917" s="4"/>
      <c r="CC1917" s="4"/>
      <c r="CD1917" s="4"/>
      <c r="CE1917" s="4"/>
      <c r="CF1917" s="4"/>
      <c r="CG1917" s="4"/>
      <c r="CH1917" s="4"/>
      <c r="CI1917" s="4"/>
      <c r="CJ1917" s="4"/>
      <c r="CK1917" s="4"/>
      <c r="CL1917" s="4"/>
      <c r="CM1917" s="4"/>
      <c r="CN1917" s="4"/>
      <c r="CO1917" s="4"/>
      <c r="CP1917" s="4"/>
      <c r="CQ1917" s="4"/>
      <c r="CR1917" s="4"/>
      <c r="CS1917" s="4"/>
      <c r="CT1917" s="4"/>
      <c r="CU1917" s="4"/>
      <c r="CV1917" s="4"/>
      <c r="CW1917" s="4"/>
      <c r="CX1917" s="4"/>
      <c r="CY1917" s="4"/>
      <c r="CZ1917" s="4"/>
      <c r="DA1917" s="4"/>
      <c r="DB1917" s="4"/>
      <c r="DC1917" s="4"/>
      <c r="DD1917" s="4"/>
      <c r="DE1917" s="4"/>
      <c r="DF1917" s="4"/>
      <c r="DG1917" s="4"/>
      <c r="DH1917" s="4"/>
      <c r="DI1917" s="4"/>
      <c r="DJ1917" s="4"/>
      <c r="DK1917" s="4"/>
      <c r="DL1917" s="4"/>
      <c r="DM1917" s="4"/>
      <c r="DN1917" s="4"/>
      <c r="DO1917" s="4"/>
      <c r="DP1917" s="4"/>
      <c r="DQ1917" s="4"/>
      <c r="DR1917" s="4"/>
      <c r="DS1917" s="4"/>
      <c r="DT1917" s="4"/>
      <c r="DU1917" s="4"/>
      <c r="DV1917" s="4"/>
      <c r="DW1917" s="4"/>
      <c r="DX1917" s="4"/>
      <c r="DY1917" s="4"/>
      <c r="DZ1917" s="4"/>
      <c r="EA1917" s="4"/>
      <c r="EB1917" s="4"/>
      <c r="EC1917" s="4"/>
      <c r="ED1917" s="4"/>
      <c r="EE1917" s="4"/>
      <c r="EF1917" s="4"/>
      <c r="EG1917" s="4"/>
      <c r="EH1917" s="4"/>
      <c r="EI1917" s="4"/>
      <c r="EJ1917" s="4"/>
      <c r="EK1917" s="4"/>
      <c r="EL1917" s="4"/>
      <c r="EM1917" s="4"/>
      <c r="EN1917" s="4"/>
      <c r="EO1917" s="4"/>
      <c r="EP1917" s="4"/>
      <c r="EQ1917" s="4"/>
      <c r="ER1917" s="4"/>
      <c r="ES1917" s="4"/>
      <c r="ET1917" s="4"/>
      <c r="EU1917" s="4"/>
      <c r="EV1917" s="4"/>
      <c r="EW1917" s="4"/>
      <c r="EX1917" s="4"/>
      <c r="EY1917" s="4"/>
      <c r="EZ1917" s="4"/>
      <c r="FA1917" s="4"/>
      <c r="FB1917" s="4"/>
      <c r="FC1917" s="4"/>
      <c r="FD1917" s="4"/>
      <c r="FE1917" s="4"/>
      <c r="FF1917" s="4"/>
      <c r="FG1917" s="4"/>
      <c r="FH1917" s="4"/>
      <c r="FI1917" s="4"/>
      <c r="FJ1917" s="4"/>
      <c r="FK1917" s="4"/>
      <c r="FL1917" s="4"/>
      <c r="FM1917" s="4"/>
      <c r="FN1917" s="4"/>
      <c r="FO1917" s="4"/>
      <c r="FP1917" s="4"/>
      <c r="FQ1917" s="4"/>
      <c r="FR1917" s="4"/>
      <c r="FS1917" s="4"/>
      <c r="FT1917" s="4"/>
      <c r="FU1917" s="4"/>
      <c r="FV1917" s="4"/>
      <c r="FW1917" s="4"/>
      <c r="FX1917" s="4"/>
      <c r="FY1917" s="4"/>
      <c r="FZ1917" s="4"/>
      <c r="GA1917" s="4"/>
      <c r="GB1917" s="4"/>
      <c r="GC1917" s="4"/>
      <c r="GD1917" s="4"/>
      <c r="GE1917" s="4"/>
    </row>
    <row r="1918" spans="1:187" s="5" customFormat="1" ht="16.5" customHeight="1">
      <c r="A1918" s="12"/>
      <c r="B1918" s="97" t="s">
        <v>84</v>
      </c>
      <c r="C1918" s="15" t="s">
        <v>85</v>
      </c>
      <c r="D1918" s="40"/>
      <c r="E1918" s="40"/>
      <c r="F1918" s="40"/>
      <c r="G1918" s="40"/>
      <c r="H1918" s="40"/>
      <c r="I1918" s="40"/>
      <c r="J1918" s="40"/>
      <c r="K1918" s="40"/>
      <c r="L1918" s="40">
        <v>5</v>
      </c>
      <c r="M1918" s="40">
        <v>5</v>
      </c>
      <c r="N1918" s="40">
        <v>5</v>
      </c>
      <c r="O1918" s="40">
        <v>5</v>
      </c>
      <c r="P1918" s="40">
        <v>5</v>
      </c>
      <c r="Q1918" s="22"/>
      <c r="R1918" s="22"/>
      <c r="S1918" s="31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  <c r="BH1918" s="4"/>
      <c r="BI1918" s="4"/>
      <c r="BJ1918" s="4"/>
      <c r="BK1918" s="4"/>
      <c r="BL1918" s="4"/>
      <c r="BM1918" s="4"/>
      <c r="BN1918" s="4"/>
      <c r="BO1918" s="4"/>
      <c r="BP1918" s="4"/>
      <c r="BQ1918" s="4"/>
      <c r="BR1918" s="4"/>
      <c r="BS1918" s="4"/>
      <c r="BT1918" s="4"/>
      <c r="BU1918" s="4"/>
      <c r="BV1918" s="4"/>
      <c r="BW1918" s="4"/>
      <c r="BX1918" s="4"/>
      <c r="BY1918" s="4"/>
      <c r="BZ1918" s="4"/>
      <c r="CA1918" s="4"/>
      <c r="CB1918" s="4"/>
      <c r="CC1918" s="4"/>
      <c r="CD1918" s="4"/>
      <c r="CE1918" s="4"/>
      <c r="CF1918" s="4"/>
      <c r="CG1918" s="4"/>
      <c r="CH1918" s="4"/>
      <c r="CI1918" s="4"/>
      <c r="CJ1918" s="4"/>
      <c r="CK1918" s="4"/>
      <c r="CL1918" s="4"/>
      <c r="CM1918" s="4"/>
      <c r="CN1918" s="4"/>
      <c r="CO1918" s="4"/>
      <c r="CP1918" s="4"/>
      <c r="CQ1918" s="4"/>
      <c r="CR1918" s="4"/>
      <c r="CS1918" s="4"/>
      <c r="CT1918" s="4"/>
      <c r="CU1918" s="4"/>
      <c r="CV1918" s="4"/>
      <c r="CW1918" s="4"/>
      <c r="CX1918" s="4"/>
      <c r="CY1918" s="4"/>
      <c r="CZ1918" s="4"/>
      <c r="DA1918" s="4"/>
      <c r="DB1918" s="4"/>
      <c r="DC1918" s="4"/>
      <c r="DD1918" s="4"/>
      <c r="DE1918" s="4"/>
      <c r="DF1918" s="4"/>
      <c r="DG1918" s="4"/>
      <c r="DH1918" s="4"/>
      <c r="DI1918" s="4"/>
      <c r="DJ1918" s="4"/>
      <c r="DK1918" s="4"/>
      <c r="DL1918" s="4"/>
      <c r="DM1918" s="4"/>
      <c r="DN1918" s="4"/>
      <c r="DO1918" s="4"/>
      <c r="DP1918" s="4"/>
      <c r="DQ1918" s="4"/>
      <c r="DR1918" s="4"/>
      <c r="DS1918" s="4"/>
      <c r="DT1918" s="4"/>
      <c r="DU1918" s="4"/>
      <c r="DV1918" s="4"/>
      <c r="DW1918" s="4"/>
      <c r="DX1918" s="4"/>
      <c r="DY1918" s="4"/>
      <c r="DZ1918" s="4"/>
      <c r="EA1918" s="4"/>
      <c r="EB1918" s="4"/>
      <c r="EC1918" s="4"/>
      <c r="ED1918" s="4"/>
      <c r="EE1918" s="4"/>
      <c r="EF1918" s="4"/>
      <c r="EG1918" s="4"/>
      <c r="EH1918" s="4"/>
      <c r="EI1918" s="4"/>
      <c r="EJ1918" s="4"/>
      <c r="EK1918" s="4"/>
      <c r="EL1918" s="4"/>
      <c r="EM1918" s="4"/>
      <c r="EN1918" s="4"/>
      <c r="EO1918" s="4"/>
      <c r="EP1918" s="4"/>
      <c r="EQ1918" s="4"/>
      <c r="ER1918" s="4"/>
      <c r="ES1918" s="4"/>
      <c r="ET1918" s="4"/>
      <c r="EU1918" s="4"/>
      <c r="EV1918" s="4"/>
      <c r="EW1918" s="4"/>
      <c r="EX1918" s="4"/>
      <c r="EY1918" s="4"/>
      <c r="EZ1918" s="4"/>
      <c r="FA1918" s="4"/>
      <c r="FB1918" s="4"/>
      <c r="FC1918" s="4"/>
      <c r="FD1918" s="4"/>
      <c r="FE1918" s="4"/>
      <c r="FF1918" s="4"/>
      <c r="FG1918" s="4"/>
      <c r="FH1918" s="4"/>
      <c r="FI1918" s="4"/>
      <c r="FJ1918" s="4"/>
      <c r="FK1918" s="4"/>
      <c r="FL1918" s="4"/>
      <c r="FM1918" s="4"/>
      <c r="FN1918" s="4"/>
      <c r="FO1918" s="4"/>
      <c r="FP1918" s="4"/>
      <c r="FQ1918" s="4"/>
      <c r="FR1918" s="4"/>
      <c r="FS1918" s="4"/>
      <c r="FT1918" s="4"/>
      <c r="FU1918" s="4"/>
      <c r="FV1918" s="4"/>
      <c r="FW1918" s="4"/>
      <c r="FX1918" s="4"/>
      <c r="FY1918" s="4"/>
      <c r="FZ1918" s="4"/>
      <c r="GA1918" s="4"/>
      <c r="GB1918" s="4"/>
      <c r="GC1918" s="4"/>
      <c r="GD1918" s="4"/>
      <c r="GE1918" s="4"/>
    </row>
    <row r="1919" spans="1:19" ht="13.5" customHeight="1">
      <c r="A1919" s="400" t="s">
        <v>909</v>
      </c>
      <c r="B1919" s="400"/>
      <c r="C1919" s="400"/>
      <c r="D1919" s="400"/>
      <c r="E1919" s="400"/>
      <c r="F1919" s="400"/>
      <c r="G1919" s="400"/>
      <c r="H1919" s="400"/>
      <c r="I1919" s="400"/>
      <c r="J1919" s="400"/>
      <c r="K1919" s="400"/>
      <c r="L1919" s="400"/>
      <c r="M1919" s="400"/>
      <c r="N1919" s="400"/>
      <c r="O1919" s="400"/>
      <c r="P1919" s="400"/>
      <c r="Q1919" s="21"/>
      <c r="R1919" s="21"/>
      <c r="S1919" s="8"/>
    </row>
    <row r="1920" spans="1:188" s="57" customFormat="1" ht="18" customHeight="1">
      <c r="A1920" s="13">
        <v>24</v>
      </c>
      <c r="B1920" s="92" t="s">
        <v>360</v>
      </c>
      <c r="C1920" s="45"/>
      <c r="D1920" s="44">
        <v>57</v>
      </c>
      <c r="E1920" s="44"/>
      <c r="F1920" s="44"/>
      <c r="G1920" s="44"/>
      <c r="H1920" s="44"/>
      <c r="I1920" s="44"/>
      <c r="J1920" s="44"/>
      <c r="K1920" s="44"/>
      <c r="L1920" s="44">
        <f>L1921+L1924</f>
        <v>24</v>
      </c>
      <c r="M1920" s="44">
        <f>M1921+M1924</f>
        <v>24</v>
      </c>
      <c r="N1920" s="44">
        <f>N1921+N1924</f>
        <v>22</v>
      </c>
      <c r="O1920" s="44">
        <f>O1921+O1924</f>
        <v>22</v>
      </c>
      <c r="P1920" s="44">
        <f>P1921+P1924</f>
        <v>22</v>
      </c>
      <c r="Q1920" s="54" t="s">
        <v>649</v>
      </c>
      <c r="R1920" s="54">
        <v>7</v>
      </c>
      <c r="S1920" s="55" t="s">
        <v>590</v>
      </c>
      <c r="T1920" s="56"/>
      <c r="U1920" s="56"/>
      <c r="V1920" s="56"/>
      <c r="W1920" s="56"/>
      <c r="X1920" s="56"/>
      <c r="Y1920" s="56"/>
      <c r="Z1920" s="56"/>
      <c r="AA1920" s="56"/>
      <c r="AB1920" s="56"/>
      <c r="AC1920" s="56"/>
      <c r="AD1920" s="56"/>
      <c r="AE1920" s="56"/>
      <c r="AF1920" s="56"/>
      <c r="AG1920" s="56"/>
      <c r="AH1920" s="56"/>
      <c r="AI1920" s="56"/>
      <c r="AJ1920" s="56"/>
      <c r="AK1920" s="56"/>
      <c r="AL1920" s="56"/>
      <c r="AM1920" s="56"/>
      <c r="AN1920" s="56"/>
      <c r="AO1920" s="56"/>
      <c r="AP1920" s="56"/>
      <c r="AQ1920" s="56"/>
      <c r="AR1920" s="56"/>
      <c r="AS1920" s="56"/>
      <c r="AT1920" s="56"/>
      <c r="AU1920" s="56"/>
      <c r="AV1920" s="56"/>
      <c r="AW1920" s="56"/>
      <c r="AX1920" s="56"/>
      <c r="AY1920" s="56"/>
      <c r="AZ1920" s="56"/>
      <c r="BA1920" s="56"/>
      <c r="BB1920" s="56"/>
      <c r="BC1920" s="56"/>
      <c r="BD1920" s="56"/>
      <c r="BE1920" s="56"/>
      <c r="BF1920" s="56"/>
      <c r="BG1920" s="56"/>
      <c r="BH1920" s="56"/>
      <c r="BI1920" s="56"/>
      <c r="BJ1920" s="56"/>
      <c r="BK1920" s="56"/>
      <c r="BL1920" s="56"/>
      <c r="BM1920" s="56"/>
      <c r="BN1920" s="56"/>
      <c r="BO1920" s="56"/>
      <c r="BP1920" s="56"/>
      <c r="BQ1920" s="56"/>
      <c r="BR1920" s="56"/>
      <c r="BS1920" s="56"/>
      <c r="BT1920" s="56"/>
      <c r="BU1920" s="56"/>
      <c r="BV1920" s="56"/>
      <c r="BW1920" s="56"/>
      <c r="BX1920" s="56"/>
      <c r="BY1920" s="56"/>
      <c r="BZ1920" s="56"/>
      <c r="CA1920" s="56"/>
      <c r="CB1920" s="56"/>
      <c r="CC1920" s="56"/>
      <c r="CD1920" s="56"/>
      <c r="CE1920" s="56"/>
      <c r="CF1920" s="56"/>
      <c r="CG1920" s="56"/>
      <c r="CH1920" s="56"/>
      <c r="CI1920" s="56"/>
      <c r="CJ1920" s="56"/>
      <c r="CK1920" s="56"/>
      <c r="CL1920" s="56"/>
      <c r="CM1920" s="56"/>
      <c r="CN1920" s="56"/>
      <c r="CO1920" s="56"/>
      <c r="CP1920" s="56"/>
      <c r="CQ1920" s="56"/>
      <c r="CR1920" s="56"/>
      <c r="CS1920" s="56"/>
      <c r="CT1920" s="56"/>
      <c r="CU1920" s="56"/>
      <c r="CV1920" s="56"/>
      <c r="CW1920" s="56"/>
      <c r="CX1920" s="56"/>
      <c r="CY1920" s="56"/>
      <c r="CZ1920" s="56"/>
      <c r="DA1920" s="56"/>
      <c r="DB1920" s="56"/>
      <c r="DC1920" s="56"/>
      <c r="DD1920" s="56"/>
      <c r="DE1920" s="56"/>
      <c r="DF1920" s="56"/>
      <c r="DG1920" s="56"/>
      <c r="DH1920" s="56"/>
      <c r="DI1920" s="56"/>
      <c r="DJ1920" s="56"/>
      <c r="DK1920" s="56"/>
      <c r="DL1920" s="56"/>
      <c r="DM1920" s="56"/>
      <c r="DN1920" s="56"/>
      <c r="DO1920" s="56"/>
      <c r="DP1920" s="56"/>
      <c r="DQ1920" s="56"/>
      <c r="DR1920" s="56"/>
      <c r="DS1920" s="56"/>
      <c r="DT1920" s="56"/>
      <c r="DU1920" s="56"/>
      <c r="DV1920" s="56"/>
      <c r="DW1920" s="56"/>
      <c r="DX1920" s="56"/>
      <c r="DY1920" s="56"/>
      <c r="DZ1920" s="56"/>
      <c r="EA1920" s="56"/>
      <c r="EB1920" s="56"/>
      <c r="EC1920" s="56"/>
      <c r="ED1920" s="56"/>
      <c r="EE1920" s="56"/>
      <c r="EF1920" s="56"/>
      <c r="EG1920" s="56"/>
      <c r="EH1920" s="56"/>
      <c r="EI1920" s="56"/>
      <c r="EJ1920" s="56"/>
      <c r="EK1920" s="56"/>
      <c r="EL1920" s="56"/>
      <c r="EM1920" s="56"/>
      <c r="EN1920" s="56"/>
      <c r="EO1920" s="56"/>
      <c r="EP1920" s="56"/>
      <c r="EQ1920" s="56"/>
      <c r="ER1920" s="56"/>
      <c r="ES1920" s="56"/>
      <c r="ET1920" s="56"/>
      <c r="EU1920" s="56"/>
      <c r="EV1920" s="56"/>
      <c r="EW1920" s="56"/>
      <c r="EX1920" s="56"/>
      <c r="EY1920" s="56"/>
      <c r="EZ1920" s="56"/>
      <c r="FA1920" s="56"/>
      <c r="FB1920" s="56"/>
      <c r="FC1920" s="56"/>
      <c r="FD1920" s="56"/>
      <c r="FE1920" s="56"/>
      <c r="FF1920" s="56"/>
      <c r="FG1920" s="56"/>
      <c r="FH1920" s="56"/>
      <c r="FI1920" s="56"/>
      <c r="FJ1920" s="56"/>
      <c r="FK1920" s="56"/>
      <c r="FL1920" s="56"/>
      <c r="FM1920" s="56"/>
      <c r="FN1920" s="56"/>
      <c r="FO1920" s="56"/>
      <c r="FP1920" s="56"/>
      <c r="FQ1920" s="56"/>
      <c r="FR1920" s="56"/>
      <c r="FS1920" s="56"/>
      <c r="FT1920" s="56"/>
      <c r="FU1920" s="56"/>
      <c r="FV1920" s="56"/>
      <c r="FW1920" s="56"/>
      <c r="FX1920" s="56"/>
      <c r="FY1920" s="56"/>
      <c r="FZ1920" s="56"/>
      <c r="GA1920" s="56"/>
      <c r="GB1920" s="56"/>
      <c r="GC1920" s="56"/>
      <c r="GD1920" s="56"/>
      <c r="GE1920" s="56"/>
      <c r="GF1920" s="56"/>
    </row>
    <row r="1921" spans="1:48" s="18" customFormat="1" ht="18" customHeight="1">
      <c r="A1921" s="50"/>
      <c r="B1921" s="93" t="s">
        <v>669</v>
      </c>
      <c r="C1921" s="16"/>
      <c r="D1921" s="52"/>
      <c r="E1921" s="52"/>
      <c r="F1921" s="52"/>
      <c r="G1921" s="52"/>
      <c r="H1921" s="52"/>
      <c r="I1921" s="52"/>
      <c r="J1921" s="52"/>
      <c r="K1921" s="52"/>
      <c r="L1921" s="60">
        <f>SUM(L1922:L1923)</f>
        <v>13</v>
      </c>
      <c r="M1921" s="60">
        <f>SUM(M1922:M1923)</f>
        <v>13</v>
      </c>
      <c r="N1921" s="60">
        <f>SUM(N1922:N1923)</f>
        <v>10</v>
      </c>
      <c r="O1921" s="60">
        <f>SUM(O1922:O1923)</f>
        <v>10</v>
      </c>
      <c r="P1921" s="60">
        <f>SUM(P1922:P1923)</f>
        <v>10</v>
      </c>
      <c r="Q1921" s="23"/>
      <c r="R1921" s="23"/>
      <c r="S1921" s="17"/>
      <c r="T1921" s="47"/>
      <c r="U1921" s="47"/>
      <c r="V1921" s="47"/>
      <c r="W1921" s="47"/>
      <c r="X1921" s="47"/>
      <c r="Y1921" s="47"/>
      <c r="Z1921" s="47"/>
      <c r="AA1921" s="47"/>
      <c r="AB1921" s="47"/>
      <c r="AC1921" s="47"/>
      <c r="AD1921" s="47"/>
      <c r="AE1921" s="47"/>
      <c r="AF1921" s="47"/>
      <c r="AG1921" s="47"/>
      <c r="AH1921" s="47"/>
      <c r="AI1921" s="47"/>
      <c r="AJ1921" s="47"/>
      <c r="AK1921" s="47"/>
      <c r="AL1921" s="47"/>
      <c r="AM1921" s="47"/>
      <c r="AN1921" s="47"/>
      <c r="AO1921" s="47"/>
      <c r="AP1921" s="47"/>
      <c r="AQ1921" s="47"/>
      <c r="AR1921" s="47"/>
      <c r="AS1921" s="47"/>
      <c r="AT1921" s="47"/>
      <c r="AU1921" s="47"/>
      <c r="AV1921" s="47"/>
    </row>
    <row r="1922" spans="1:48" s="27" customFormat="1" ht="18" customHeight="1">
      <c r="A1922" s="12"/>
      <c r="B1922" s="97" t="s">
        <v>599</v>
      </c>
      <c r="C1922" s="15" t="s">
        <v>600</v>
      </c>
      <c r="D1922" s="40"/>
      <c r="E1922" s="40"/>
      <c r="F1922" s="40"/>
      <c r="G1922" s="40"/>
      <c r="H1922" s="40"/>
      <c r="I1922" s="40"/>
      <c r="J1922" s="40"/>
      <c r="K1922" s="40"/>
      <c r="L1922" s="40">
        <v>6</v>
      </c>
      <c r="M1922" s="40">
        <v>6</v>
      </c>
      <c r="N1922" s="40">
        <v>5</v>
      </c>
      <c r="O1922" s="40">
        <v>5</v>
      </c>
      <c r="P1922" s="40">
        <v>5</v>
      </c>
      <c r="Q1922" s="30"/>
      <c r="R1922" s="30"/>
      <c r="S1922" s="30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</row>
    <row r="1923" spans="1:48" s="27" customFormat="1" ht="18" customHeight="1">
      <c r="A1923" s="12"/>
      <c r="B1923" s="97" t="s">
        <v>930</v>
      </c>
      <c r="C1923" s="29" t="s">
        <v>931</v>
      </c>
      <c r="D1923" s="40"/>
      <c r="E1923" s="40"/>
      <c r="F1923" s="40"/>
      <c r="G1923" s="40"/>
      <c r="H1923" s="40"/>
      <c r="I1923" s="40"/>
      <c r="J1923" s="40"/>
      <c r="K1923" s="40"/>
      <c r="L1923" s="40">
        <v>7</v>
      </c>
      <c r="M1923" s="40">
        <v>7</v>
      </c>
      <c r="N1923" s="40">
        <v>5</v>
      </c>
      <c r="O1923" s="40">
        <v>5</v>
      </c>
      <c r="P1923" s="40">
        <v>5</v>
      </c>
      <c r="Q1923" s="30"/>
      <c r="R1923" s="30"/>
      <c r="S1923" s="30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</row>
    <row r="1924" spans="1:48" s="18" customFormat="1" ht="18" customHeight="1">
      <c r="A1924" s="50"/>
      <c r="B1924" s="93" t="s">
        <v>670</v>
      </c>
      <c r="C1924" s="16"/>
      <c r="D1924" s="52"/>
      <c r="E1924" s="52"/>
      <c r="F1924" s="52"/>
      <c r="G1924" s="52"/>
      <c r="H1924" s="52"/>
      <c r="I1924" s="52"/>
      <c r="J1924" s="52"/>
      <c r="K1924" s="52"/>
      <c r="L1924" s="60">
        <f>SUM(L1925:L1926)</f>
        <v>11</v>
      </c>
      <c r="M1924" s="60">
        <f>SUM(M1925:M1926)</f>
        <v>11</v>
      </c>
      <c r="N1924" s="60">
        <f>SUM(N1925:N1926)</f>
        <v>12</v>
      </c>
      <c r="O1924" s="60">
        <f>SUM(O1925:O1926)</f>
        <v>12</v>
      </c>
      <c r="P1924" s="60">
        <f>SUM(P1925:P1926)</f>
        <v>12</v>
      </c>
      <c r="Q1924" s="23"/>
      <c r="R1924" s="23"/>
      <c r="S1924" s="17"/>
      <c r="T1924" s="47"/>
      <c r="U1924" s="47"/>
      <c r="V1924" s="47"/>
      <c r="W1924" s="47"/>
      <c r="X1924" s="47"/>
      <c r="Y1924" s="47"/>
      <c r="Z1924" s="47"/>
      <c r="AA1924" s="47"/>
      <c r="AB1924" s="47"/>
      <c r="AC1924" s="47"/>
      <c r="AD1924" s="47"/>
      <c r="AE1924" s="47"/>
      <c r="AF1924" s="47"/>
      <c r="AG1924" s="47"/>
      <c r="AH1924" s="47"/>
      <c r="AI1924" s="47"/>
      <c r="AJ1924" s="47"/>
      <c r="AK1924" s="47"/>
      <c r="AL1924" s="47"/>
      <c r="AM1924" s="47"/>
      <c r="AN1924" s="47"/>
      <c r="AO1924" s="47"/>
      <c r="AP1924" s="47"/>
      <c r="AQ1924" s="47"/>
      <c r="AR1924" s="47"/>
      <c r="AS1924" s="47"/>
      <c r="AT1924" s="47"/>
      <c r="AU1924" s="47"/>
      <c r="AV1924" s="47"/>
    </row>
    <row r="1925" spans="1:187" s="5" customFormat="1" ht="16.5" customHeight="1">
      <c r="A1925" s="12"/>
      <c r="B1925" s="97" t="s">
        <v>84</v>
      </c>
      <c r="C1925" s="15" t="s">
        <v>85</v>
      </c>
      <c r="D1925" s="40"/>
      <c r="E1925" s="40"/>
      <c r="F1925" s="40"/>
      <c r="G1925" s="40"/>
      <c r="H1925" s="40"/>
      <c r="I1925" s="40"/>
      <c r="J1925" s="40"/>
      <c r="K1925" s="40"/>
      <c r="L1925" s="40">
        <v>5</v>
      </c>
      <c r="M1925" s="40">
        <v>5</v>
      </c>
      <c r="N1925" s="40">
        <v>5</v>
      </c>
      <c r="O1925" s="40">
        <v>5</v>
      </c>
      <c r="P1925" s="40">
        <v>5</v>
      </c>
      <c r="Q1925" s="22"/>
      <c r="R1925" s="22"/>
      <c r="S1925" s="31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  <c r="BH1925" s="4"/>
      <c r="BI1925" s="4"/>
      <c r="BJ1925" s="4"/>
      <c r="BK1925" s="4"/>
      <c r="BL1925" s="4"/>
      <c r="BM1925" s="4"/>
      <c r="BN1925" s="4"/>
      <c r="BO1925" s="4"/>
      <c r="BP1925" s="4"/>
      <c r="BQ1925" s="4"/>
      <c r="BR1925" s="4"/>
      <c r="BS1925" s="4"/>
      <c r="BT1925" s="4"/>
      <c r="BU1925" s="4"/>
      <c r="BV1925" s="4"/>
      <c r="BW1925" s="4"/>
      <c r="BX1925" s="4"/>
      <c r="BY1925" s="4"/>
      <c r="BZ1925" s="4"/>
      <c r="CA1925" s="4"/>
      <c r="CB1925" s="4"/>
      <c r="CC1925" s="4"/>
      <c r="CD1925" s="4"/>
      <c r="CE1925" s="4"/>
      <c r="CF1925" s="4"/>
      <c r="CG1925" s="4"/>
      <c r="CH1925" s="4"/>
      <c r="CI1925" s="4"/>
      <c r="CJ1925" s="4"/>
      <c r="CK1925" s="4"/>
      <c r="CL1925" s="4"/>
      <c r="CM1925" s="4"/>
      <c r="CN1925" s="4"/>
      <c r="CO1925" s="4"/>
      <c r="CP1925" s="4"/>
      <c r="CQ1925" s="4"/>
      <c r="CR1925" s="4"/>
      <c r="CS1925" s="4"/>
      <c r="CT1925" s="4"/>
      <c r="CU1925" s="4"/>
      <c r="CV1925" s="4"/>
      <c r="CW1925" s="4"/>
      <c r="CX1925" s="4"/>
      <c r="CY1925" s="4"/>
      <c r="CZ1925" s="4"/>
      <c r="DA1925" s="4"/>
      <c r="DB1925" s="4"/>
      <c r="DC1925" s="4"/>
      <c r="DD1925" s="4"/>
      <c r="DE1925" s="4"/>
      <c r="DF1925" s="4"/>
      <c r="DG1925" s="4"/>
      <c r="DH1925" s="4"/>
      <c r="DI1925" s="4"/>
      <c r="DJ1925" s="4"/>
      <c r="DK1925" s="4"/>
      <c r="DL1925" s="4"/>
      <c r="DM1925" s="4"/>
      <c r="DN1925" s="4"/>
      <c r="DO1925" s="4"/>
      <c r="DP1925" s="4"/>
      <c r="DQ1925" s="4"/>
      <c r="DR1925" s="4"/>
      <c r="DS1925" s="4"/>
      <c r="DT1925" s="4"/>
      <c r="DU1925" s="4"/>
      <c r="DV1925" s="4"/>
      <c r="DW1925" s="4"/>
      <c r="DX1925" s="4"/>
      <c r="DY1925" s="4"/>
      <c r="DZ1925" s="4"/>
      <c r="EA1925" s="4"/>
      <c r="EB1925" s="4"/>
      <c r="EC1925" s="4"/>
      <c r="ED1925" s="4"/>
      <c r="EE1925" s="4"/>
      <c r="EF1925" s="4"/>
      <c r="EG1925" s="4"/>
      <c r="EH1925" s="4"/>
      <c r="EI1925" s="4"/>
      <c r="EJ1925" s="4"/>
      <c r="EK1925" s="4"/>
      <c r="EL1925" s="4"/>
      <c r="EM1925" s="4"/>
      <c r="EN1925" s="4"/>
      <c r="EO1925" s="4"/>
      <c r="EP1925" s="4"/>
      <c r="EQ1925" s="4"/>
      <c r="ER1925" s="4"/>
      <c r="ES1925" s="4"/>
      <c r="ET1925" s="4"/>
      <c r="EU1925" s="4"/>
      <c r="EV1925" s="4"/>
      <c r="EW1925" s="4"/>
      <c r="EX1925" s="4"/>
      <c r="EY1925" s="4"/>
      <c r="EZ1925" s="4"/>
      <c r="FA1925" s="4"/>
      <c r="FB1925" s="4"/>
      <c r="FC1925" s="4"/>
      <c r="FD1925" s="4"/>
      <c r="FE1925" s="4"/>
      <c r="FF1925" s="4"/>
      <c r="FG1925" s="4"/>
      <c r="FH1925" s="4"/>
      <c r="FI1925" s="4"/>
      <c r="FJ1925" s="4"/>
      <c r="FK1925" s="4"/>
      <c r="FL1925" s="4"/>
      <c r="FM1925" s="4"/>
      <c r="FN1925" s="4"/>
      <c r="FO1925" s="4"/>
      <c r="FP1925" s="4"/>
      <c r="FQ1925" s="4"/>
      <c r="FR1925" s="4"/>
      <c r="FS1925" s="4"/>
      <c r="FT1925" s="4"/>
      <c r="FU1925" s="4"/>
      <c r="FV1925" s="4"/>
      <c r="FW1925" s="4"/>
      <c r="FX1925" s="4"/>
      <c r="FY1925" s="4"/>
      <c r="FZ1925" s="4"/>
      <c r="GA1925" s="4"/>
      <c r="GB1925" s="4"/>
      <c r="GC1925" s="4"/>
      <c r="GD1925" s="4"/>
      <c r="GE1925" s="4"/>
    </row>
    <row r="1926" spans="1:187" s="5" customFormat="1" ht="18" customHeight="1">
      <c r="A1926" s="12"/>
      <c r="B1926" s="111" t="s">
        <v>422</v>
      </c>
      <c r="C1926" s="15" t="s">
        <v>423</v>
      </c>
      <c r="D1926" s="40"/>
      <c r="E1926" s="40"/>
      <c r="F1926" s="40"/>
      <c r="G1926" s="40"/>
      <c r="H1926" s="40"/>
      <c r="I1926" s="40"/>
      <c r="J1926" s="40"/>
      <c r="K1926" s="40"/>
      <c r="L1926" s="40">
        <v>6</v>
      </c>
      <c r="M1926" s="40">
        <v>6</v>
      </c>
      <c r="N1926" s="40">
        <v>7</v>
      </c>
      <c r="O1926" s="40">
        <v>7</v>
      </c>
      <c r="P1926" s="40">
        <v>7</v>
      </c>
      <c r="Q1926" s="22"/>
      <c r="R1926" s="22"/>
      <c r="S1926" s="31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  <c r="BH1926" s="4"/>
      <c r="BI1926" s="4"/>
      <c r="BJ1926" s="4"/>
      <c r="BK1926" s="4"/>
      <c r="BL1926" s="4"/>
      <c r="BM1926" s="4"/>
      <c r="BN1926" s="4"/>
      <c r="BO1926" s="4"/>
      <c r="BP1926" s="4"/>
      <c r="BQ1926" s="4"/>
      <c r="BR1926" s="4"/>
      <c r="BS1926" s="4"/>
      <c r="BT1926" s="4"/>
      <c r="BU1926" s="4"/>
      <c r="BV1926" s="4"/>
      <c r="BW1926" s="4"/>
      <c r="BX1926" s="4"/>
      <c r="BY1926" s="4"/>
      <c r="BZ1926" s="4"/>
      <c r="CA1926" s="4"/>
      <c r="CB1926" s="4"/>
      <c r="CC1926" s="4"/>
      <c r="CD1926" s="4"/>
      <c r="CE1926" s="4"/>
      <c r="CF1926" s="4"/>
      <c r="CG1926" s="4"/>
      <c r="CH1926" s="4"/>
      <c r="CI1926" s="4"/>
      <c r="CJ1926" s="4"/>
      <c r="CK1926" s="4"/>
      <c r="CL1926" s="4"/>
      <c r="CM1926" s="4"/>
      <c r="CN1926" s="4"/>
      <c r="CO1926" s="4"/>
      <c r="CP1926" s="4"/>
      <c r="CQ1926" s="4"/>
      <c r="CR1926" s="4"/>
      <c r="CS1926" s="4"/>
      <c r="CT1926" s="4"/>
      <c r="CU1926" s="4"/>
      <c r="CV1926" s="4"/>
      <c r="CW1926" s="4"/>
      <c r="CX1926" s="4"/>
      <c r="CY1926" s="4"/>
      <c r="CZ1926" s="4"/>
      <c r="DA1926" s="4"/>
      <c r="DB1926" s="4"/>
      <c r="DC1926" s="4"/>
      <c r="DD1926" s="4"/>
      <c r="DE1926" s="4"/>
      <c r="DF1926" s="4"/>
      <c r="DG1926" s="4"/>
      <c r="DH1926" s="4"/>
      <c r="DI1926" s="4"/>
      <c r="DJ1926" s="4"/>
      <c r="DK1926" s="4"/>
      <c r="DL1926" s="4"/>
      <c r="DM1926" s="4"/>
      <c r="DN1926" s="4"/>
      <c r="DO1926" s="4"/>
      <c r="DP1926" s="4"/>
      <c r="DQ1926" s="4"/>
      <c r="DR1926" s="4"/>
      <c r="DS1926" s="4"/>
      <c r="DT1926" s="4"/>
      <c r="DU1926" s="4"/>
      <c r="DV1926" s="4"/>
      <c r="DW1926" s="4"/>
      <c r="DX1926" s="4"/>
      <c r="DY1926" s="4"/>
      <c r="DZ1926" s="4"/>
      <c r="EA1926" s="4"/>
      <c r="EB1926" s="4"/>
      <c r="EC1926" s="4"/>
      <c r="ED1926" s="4"/>
      <c r="EE1926" s="4"/>
      <c r="EF1926" s="4"/>
      <c r="EG1926" s="4"/>
      <c r="EH1926" s="4"/>
      <c r="EI1926" s="4"/>
      <c r="EJ1926" s="4"/>
      <c r="EK1926" s="4"/>
      <c r="EL1926" s="4"/>
      <c r="EM1926" s="4"/>
      <c r="EN1926" s="4"/>
      <c r="EO1926" s="4"/>
      <c r="EP1926" s="4"/>
      <c r="EQ1926" s="4"/>
      <c r="ER1926" s="4"/>
      <c r="ES1926" s="4"/>
      <c r="ET1926" s="4"/>
      <c r="EU1926" s="4"/>
      <c r="EV1926" s="4"/>
      <c r="EW1926" s="4"/>
      <c r="EX1926" s="4"/>
      <c r="EY1926" s="4"/>
      <c r="EZ1926" s="4"/>
      <c r="FA1926" s="4"/>
      <c r="FB1926" s="4"/>
      <c r="FC1926" s="4"/>
      <c r="FD1926" s="4"/>
      <c r="FE1926" s="4"/>
      <c r="FF1926" s="4"/>
      <c r="FG1926" s="4"/>
      <c r="FH1926" s="4"/>
      <c r="FI1926" s="4"/>
      <c r="FJ1926" s="4"/>
      <c r="FK1926" s="4"/>
      <c r="FL1926" s="4"/>
      <c r="FM1926" s="4"/>
      <c r="FN1926" s="4"/>
      <c r="FO1926" s="4"/>
      <c r="FP1926" s="4"/>
      <c r="FQ1926" s="4"/>
      <c r="FR1926" s="4"/>
      <c r="FS1926" s="4"/>
      <c r="FT1926" s="4"/>
      <c r="FU1926" s="4"/>
      <c r="FV1926" s="4"/>
      <c r="FW1926" s="4"/>
      <c r="FX1926" s="4"/>
      <c r="FY1926" s="4"/>
      <c r="FZ1926" s="4"/>
      <c r="GA1926" s="4"/>
      <c r="GB1926" s="4"/>
      <c r="GC1926" s="4"/>
      <c r="GD1926" s="4"/>
      <c r="GE1926" s="4"/>
    </row>
    <row r="1927" spans="1:188" s="57" customFormat="1" ht="18" customHeight="1">
      <c r="A1927" s="13">
        <v>25</v>
      </c>
      <c r="B1927" s="92" t="s">
        <v>12</v>
      </c>
      <c r="C1927" s="45"/>
      <c r="D1927" s="44"/>
      <c r="E1927" s="44"/>
      <c r="F1927" s="44"/>
      <c r="G1927" s="44"/>
      <c r="H1927" s="44"/>
      <c r="I1927" s="44"/>
      <c r="J1927" s="44"/>
      <c r="K1927" s="44"/>
      <c r="L1927" s="44">
        <f>L1928</f>
        <v>2</v>
      </c>
      <c r="M1927" s="44">
        <f aca="true" t="shared" si="66" ref="M1927:P1928">M1928</f>
        <v>2</v>
      </c>
      <c r="N1927" s="44">
        <f t="shared" si="66"/>
        <v>1</v>
      </c>
      <c r="O1927" s="44">
        <f t="shared" si="66"/>
        <v>2</v>
      </c>
      <c r="P1927" s="44">
        <f t="shared" si="66"/>
        <v>2</v>
      </c>
      <c r="Q1927" s="54" t="s">
        <v>649</v>
      </c>
      <c r="R1927" s="54">
        <v>7</v>
      </c>
      <c r="S1927" s="55" t="s">
        <v>590</v>
      </c>
      <c r="T1927" s="56"/>
      <c r="U1927" s="56"/>
      <c r="V1927" s="56"/>
      <c r="W1927" s="56"/>
      <c r="X1927" s="56"/>
      <c r="Y1927" s="56"/>
      <c r="Z1927" s="56"/>
      <c r="AA1927" s="56"/>
      <c r="AB1927" s="56"/>
      <c r="AC1927" s="56"/>
      <c r="AD1927" s="56"/>
      <c r="AE1927" s="56"/>
      <c r="AF1927" s="56"/>
      <c r="AG1927" s="56"/>
      <c r="AH1927" s="56"/>
      <c r="AI1927" s="56"/>
      <c r="AJ1927" s="56"/>
      <c r="AK1927" s="56"/>
      <c r="AL1927" s="56"/>
      <c r="AM1927" s="56"/>
      <c r="AN1927" s="56"/>
      <c r="AO1927" s="56"/>
      <c r="AP1927" s="56"/>
      <c r="AQ1927" s="56"/>
      <c r="AR1927" s="56"/>
      <c r="AS1927" s="56"/>
      <c r="AT1927" s="56"/>
      <c r="AU1927" s="56"/>
      <c r="AV1927" s="56"/>
      <c r="AW1927" s="56"/>
      <c r="AX1927" s="56"/>
      <c r="AY1927" s="56"/>
      <c r="AZ1927" s="56"/>
      <c r="BA1927" s="56"/>
      <c r="BB1927" s="56"/>
      <c r="BC1927" s="56"/>
      <c r="BD1927" s="56"/>
      <c r="BE1927" s="56"/>
      <c r="BF1927" s="56"/>
      <c r="BG1927" s="56"/>
      <c r="BH1927" s="56"/>
      <c r="BI1927" s="56"/>
      <c r="BJ1927" s="56"/>
      <c r="BK1927" s="56"/>
      <c r="BL1927" s="56"/>
      <c r="BM1927" s="56"/>
      <c r="BN1927" s="56"/>
      <c r="BO1927" s="56"/>
      <c r="BP1927" s="56"/>
      <c r="BQ1927" s="56"/>
      <c r="BR1927" s="56"/>
      <c r="BS1927" s="56"/>
      <c r="BT1927" s="56"/>
      <c r="BU1927" s="56"/>
      <c r="BV1927" s="56"/>
      <c r="BW1927" s="56"/>
      <c r="BX1927" s="56"/>
      <c r="BY1927" s="56"/>
      <c r="BZ1927" s="56"/>
      <c r="CA1927" s="56"/>
      <c r="CB1927" s="56"/>
      <c r="CC1927" s="56"/>
      <c r="CD1927" s="56"/>
      <c r="CE1927" s="56"/>
      <c r="CF1927" s="56"/>
      <c r="CG1927" s="56"/>
      <c r="CH1927" s="56"/>
      <c r="CI1927" s="56"/>
      <c r="CJ1927" s="56"/>
      <c r="CK1927" s="56"/>
      <c r="CL1927" s="56"/>
      <c r="CM1927" s="56"/>
      <c r="CN1927" s="56"/>
      <c r="CO1927" s="56"/>
      <c r="CP1927" s="56"/>
      <c r="CQ1927" s="56"/>
      <c r="CR1927" s="56"/>
      <c r="CS1927" s="56"/>
      <c r="CT1927" s="56"/>
      <c r="CU1927" s="56"/>
      <c r="CV1927" s="56"/>
      <c r="CW1927" s="56"/>
      <c r="CX1927" s="56"/>
      <c r="CY1927" s="56"/>
      <c r="CZ1927" s="56"/>
      <c r="DA1927" s="56"/>
      <c r="DB1927" s="56"/>
      <c r="DC1927" s="56"/>
      <c r="DD1927" s="56"/>
      <c r="DE1927" s="56"/>
      <c r="DF1927" s="56"/>
      <c r="DG1927" s="56"/>
      <c r="DH1927" s="56"/>
      <c r="DI1927" s="56"/>
      <c r="DJ1927" s="56"/>
      <c r="DK1927" s="56"/>
      <c r="DL1927" s="56"/>
      <c r="DM1927" s="56"/>
      <c r="DN1927" s="56"/>
      <c r="DO1927" s="56"/>
      <c r="DP1927" s="56"/>
      <c r="DQ1927" s="56"/>
      <c r="DR1927" s="56"/>
      <c r="DS1927" s="56"/>
      <c r="DT1927" s="56"/>
      <c r="DU1927" s="56"/>
      <c r="DV1927" s="56"/>
      <c r="DW1927" s="56"/>
      <c r="DX1927" s="56"/>
      <c r="DY1927" s="56"/>
      <c r="DZ1927" s="56"/>
      <c r="EA1927" s="56"/>
      <c r="EB1927" s="56"/>
      <c r="EC1927" s="56"/>
      <c r="ED1927" s="56"/>
      <c r="EE1927" s="56"/>
      <c r="EF1927" s="56"/>
      <c r="EG1927" s="56"/>
      <c r="EH1927" s="56"/>
      <c r="EI1927" s="56"/>
      <c r="EJ1927" s="56"/>
      <c r="EK1927" s="56"/>
      <c r="EL1927" s="56"/>
      <c r="EM1927" s="56"/>
      <c r="EN1927" s="56"/>
      <c r="EO1927" s="56"/>
      <c r="EP1927" s="56"/>
      <c r="EQ1927" s="56"/>
      <c r="ER1927" s="56"/>
      <c r="ES1927" s="56"/>
      <c r="ET1927" s="56"/>
      <c r="EU1927" s="56"/>
      <c r="EV1927" s="56"/>
      <c r="EW1927" s="56"/>
      <c r="EX1927" s="56"/>
      <c r="EY1927" s="56"/>
      <c r="EZ1927" s="56"/>
      <c r="FA1927" s="56"/>
      <c r="FB1927" s="56"/>
      <c r="FC1927" s="56"/>
      <c r="FD1927" s="56"/>
      <c r="FE1927" s="56"/>
      <c r="FF1927" s="56"/>
      <c r="FG1927" s="56"/>
      <c r="FH1927" s="56"/>
      <c r="FI1927" s="56"/>
      <c r="FJ1927" s="56"/>
      <c r="FK1927" s="56"/>
      <c r="FL1927" s="56"/>
      <c r="FM1927" s="56"/>
      <c r="FN1927" s="56"/>
      <c r="FO1927" s="56"/>
      <c r="FP1927" s="56"/>
      <c r="FQ1927" s="56"/>
      <c r="FR1927" s="56"/>
      <c r="FS1927" s="56"/>
      <c r="FT1927" s="56"/>
      <c r="FU1927" s="56"/>
      <c r="FV1927" s="56"/>
      <c r="FW1927" s="56"/>
      <c r="FX1927" s="56"/>
      <c r="FY1927" s="56"/>
      <c r="FZ1927" s="56"/>
      <c r="GA1927" s="56"/>
      <c r="GB1927" s="56"/>
      <c r="GC1927" s="56"/>
      <c r="GD1927" s="56"/>
      <c r="GE1927" s="56"/>
      <c r="GF1927" s="56"/>
    </row>
    <row r="1928" spans="1:48" s="18" customFormat="1" ht="18" customHeight="1">
      <c r="A1928" s="50"/>
      <c r="B1928" s="93" t="s">
        <v>669</v>
      </c>
      <c r="C1928" s="16"/>
      <c r="D1928" s="52"/>
      <c r="E1928" s="52"/>
      <c r="F1928" s="52"/>
      <c r="G1928" s="52"/>
      <c r="H1928" s="52"/>
      <c r="I1928" s="52"/>
      <c r="J1928" s="52"/>
      <c r="K1928" s="52"/>
      <c r="L1928" s="60">
        <f>L1929</f>
        <v>2</v>
      </c>
      <c r="M1928" s="60">
        <f t="shared" si="66"/>
        <v>2</v>
      </c>
      <c r="N1928" s="60">
        <f t="shared" si="66"/>
        <v>1</v>
      </c>
      <c r="O1928" s="60">
        <f t="shared" si="66"/>
        <v>2</v>
      </c>
      <c r="P1928" s="60">
        <f t="shared" si="66"/>
        <v>2</v>
      </c>
      <c r="Q1928" s="23"/>
      <c r="R1928" s="23"/>
      <c r="S1928" s="17"/>
      <c r="T1928" s="47"/>
      <c r="U1928" s="47"/>
      <c r="V1928" s="47"/>
      <c r="W1928" s="47"/>
      <c r="X1928" s="47"/>
      <c r="Y1928" s="47"/>
      <c r="Z1928" s="47"/>
      <c r="AA1928" s="47"/>
      <c r="AB1928" s="47"/>
      <c r="AC1928" s="47"/>
      <c r="AD1928" s="47"/>
      <c r="AE1928" s="47"/>
      <c r="AF1928" s="47"/>
      <c r="AG1928" s="47"/>
      <c r="AH1928" s="47"/>
      <c r="AI1928" s="47"/>
      <c r="AJ1928" s="47"/>
      <c r="AK1928" s="47"/>
      <c r="AL1928" s="47"/>
      <c r="AM1928" s="47"/>
      <c r="AN1928" s="47"/>
      <c r="AO1928" s="47"/>
      <c r="AP1928" s="47"/>
      <c r="AQ1928" s="47"/>
      <c r="AR1928" s="47"/>
      <c r="AS1928" s="47"/>
      <c r="AT1928" s="47"/>
      <c r="AU1928" s="47"/>
      <c r="AV1928" s="47"/>
    </row>
    <row r="1929" spans="1:48" s="27" customFormat="1" ht="18" customHeight="1">
      <c r="A1929" s="12"/>
      <c r="B1929" s="97" t="s">
        <v>564</v>
      </c>
      <c r="C1929" s="29" t="s">
        <v>565</v>
      </c>
      <c r="D1929" s="40"/>
      <c r="E1929" s="40"/>
      <c r="F1929" s="40"/>
      <c r="G1929" s="40"/>
      <c r="H1929" s="40"/>
      <c r="I1929" s="40"/>
      <c r="J1929" s="40"/>
      <c r="K1929" s="40"/>
      <c r="L1929" s="40">
        <v>2</v>
      </c>
      <c r="M1929" s="40">
        <v>2</v>
      </c>
      <c r="N1929" s="40">
        <v>1</v>
      </c>
      <c r="O1929" s="40">
        <v>2</v>
      </c>
      <c r="P1929" s="40">
        <v>2</v>
      </c>
      <c r="Q1929" s="30"/>
      <c r="R1929" s="30"/>
      <c r="S1929" s="30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</row>
    <row r="1930" spans="1:188" s="57" customFormat="1" ht="18" customHeight="1">
      <c r="A1930" s="13">
        <v>26</v>
      </c>
      <c r="B1930" s="108" t="s">
        <v>147</v>
      </c>
      <c r="C1930" s="45"/>
      <c r="D1930" s="44">
        <v>70</v>
      </c>
      <c r="E1930" s="44"/>
      <c r="F1930" s="44"/>
      <c r="G1930" s="44"/>
      <c r="H1930" s="44"/>
      <c r="I1930" s="44"/>
      <c r="J1930" s="44"/>
      <c r="K1930" s="44"/>
      <c r="L1930" s="44">
        <f>SUM(L1931,L1934)</f>
        <v>24</v>
      </c>
      <c r="M1930" s="44">
        <f>SUM(M1931,M1934)</f>
        <v>25</v>
      </c>
      <c r="N1930" s="44">
        <f>SUM(N1931,N1934)</f>
        <v>26</v>
      </c>
      <c r="O1930" s="44">
        <f>SUM(O1931,O1934)</f>
        <v>26</v>
      </c>
      <c r="P1930" s="44">
        <f>SUM(P1931,P1934)</f>
        <v>26</v>
      </c>
      <c r="Q1930" s="54" t="s">
        <v>649</v>
      </c>
      <c r="R1930" s="54">
        <v>2</v>
      </c>
      <c r="S1930" s="55" t="s">
        <v>416</v>
      </c>
      <c r="T1930" s="56"/>
      <c r="U1930" s="56"/>
      <c r="V1930" s="56"/>
      <c r="W1930" s="56"/>
      <c r="X1930" s="56"/>
      <c r="Y1930" s="56"/>
      <c r="Z1930" s="56"/>
      <c r="AA1930" s="56"/>
      <c r="AB1930" s="56"/>
      <c r="AC1930" s="56"/>
      <c r="AD1930" s="56"/>
      <c r="AE1930" s="56"/>
      <c r="AF1930" s="56"/>
      <c r="AG1930" s="56"/>
      <c r="AH1930" s="56"/>
      <c r="AI1930" s="56"/>
      <c r="AJ1930" s="56"/>
      <c r="AK1930" s="56"/>
      <c r="AL1930" s="56"/>
      <c r="AM1930" s="56"/>
      <c r="AN1930" s="56"/>
      <c r="AO1930" s="56"/>
      <c r="AP1930" s="56"/>
      <c r="AQ1930" s="56"/>
      <c r="AR1930" s="56"/>
      <c r="AS1930" s="56"/>
      <c r="AT1930" s="56"/>
      <c r="AU1930" s="56"/>
      <c r="AV1930" s="56"/>
      <c r="AW1930" s="56"/>
      <c r="AX1930" s="56"/>
      <c r="AY1930" s="56"/>
      <c r="AZ1930" s="56"/>
      <c r="BA1930" s="56"/>
      <c r="BB1930" s="56"/>
      <c r="BC1930" s="56"/>
      <c r="BD1930" s="56"/>
      <c r="BE1930" s="56"/>
      <c r="BF1930" s="56"/>
      <c r="BG1930" s="56"/>
      <c r="BH1930" s="56"/>
      <c r="BI1930" s="56"/>
      <c r="BJ1930" s="56"/>
      <c r="BK1930" s="56"/>
      <c r="BL1930" s="56"/>
      <c r="BM1930" s="56"/>
      <c r="BN1930" s="56"/>
      <c r="BO1930" s="56"/>
      <c r="BP1930" s="56"/>
      <c r="BQ1930" s="56"/>
      <c r="BR1930" s="56"/>
      <c r="BS1930" s="56"/>
      <c r="BT1930" s="56"/>
      <c r="BU1930" s="56"/>
      <c r="BV1930" s="56"/>
      <c r="BW1930" s="56"/>
      <c r="BX1930" s="56"/>
      <c r="BY1930" s="56"/>
      <c r="BZ1930" s="56"/>
      <c r="CA1930" s="56"/>
      <c r="CB1930" s="56"/>
      <c r="CC1930" s="56"/>
      <c r="CD1930" s="56"/>
      <c r="CE1930" s="56"/>
      <c r="CF1930" s="56"/>
      <c r="CG1930" s="56"/>
      <c r="CH1930" s="56"/>
      <c r="CI1930" s="56"/>
      <c r="CJ1930" s="56"/>
      <c r="CK1930" s="56"/>
      <c r="CL1930" s="56"/>
      <c r="CM1930" s="56"/>
      <c r="CN1930" s="56"/>
      <c r="CO1930" s="56"/>
      <c r="CP1930" s="56"/>
      <c r="CQ1930" s="56"/>
      <c r="CR1930" s="56"/>
      <c r="CS1930" s="56"/>
      <c r="CT1930" s="56"/>
      <c r="CU1930" s="56"/>
      <c r="CV1930" s="56"/>
      <c r="CW1930" s="56"/>
      <c r="CX1930" s="56"/>
      <c r="CY1930" s="56"/>
      <c r="CZ1930" s="56"/>
      <c r="DA1930" s="56"/>
      <c r="DB1930" s="56"/>
      <c r="DC1930" s="56"/>
      <c r="DD1930" s="56"/>
      <c r="DE1930" s="56"/>
      <c r="DF1930" s="56"/>
      <c r="DG1930" s="56"/>
      <c r="DH1930" s="56"/>
      <c r="DI1930" s="56"/>
      <c r="DJ1930" s="56"/>
      <c r="DK1930" s="56"/>
      <c r="DL1930" s="56"/>
      <c r="DM1930" s="56"/>
      <c r="DN1930" s="56"/>
      <c r="DO1930" s="56"/>
      <c r="DP1930" s="56"/>
      <c r="DQ1930" s="56"/>
      <c r="DR1930" s="56"/>
      <c r="DS1930" s="56"/>
      <c r="DT1930" s="56"/>
      <c r="DU1930" s="56"/>
      <c r="DV1930" s="56"/>
      <c r="DW1930" s="56"/>
      <c r="DX1930" s="56"/>
      <c r="DY1930" s="56"/>
      <c r="DZ1930" s="56"/>
      <c r="EA1930" s="56"/>
      <c r="EB1930" s="56"/>
      <c r="EC1930" s="56"/>
      <c r="ED1930" s="56"/>
      <c r="EE1930" s="56"/>
      <c r="EF1930" s="56"/>
      <c r="EG1930" s="56"/>
      <c r="EH1930" s="56"/>
      <c r="EI1930" s="56"/>
      <c r="EJ1930" s="56"/>
      <c r="EK1930" s="56"/>
      <c r="EL1930" s="56"/>
      <c r="EM1930" s="56"/>
      <c r="EN1930" s="56"/>
      <c r="EO1930" s="56"/>
      <c r="EP1930" s="56"/>
      <c r="EQ1930" s="56"/>
      <c r="ER1930" s="56"/>
      <c r="ES1930" s="56"/>
      <c r="ET1930" s="56"/>
      <c r="EU1930" s="56"/>
      <c r="EV1930" s="56"/>
      <c r="EW1930" s="56"/>
      <c r="EX1930" s="56"/>
      <c r="EY1930" s="56"/>
      <c r="EZ1930" s="56"/>
      <c r="FA1930" s="56"/>
      <c r="FB1930" s="56"/>
      <c r="FC1930" s="56"/>
      <c r="FD1930" s="56"/>
      <c r="FE1930" s="56"/>
      <c r="FF1930" s="56"/>
      <c r="FG1930" s="56"/>
      <c r="FH1930" s="56"/>
      <c r="FI1930" s="56"/>
      <c r="FJ1930" s="56"/>
      <c r="FK1930" s="56"/>
      <c r="FL1930" s="56"/>
      <c r="FM1930" s="56"/>
      <c r="FN1930" s="56"/>
      <c r="FO1930" s="56"/>
      <c r="FP1930" s="56"/>
      <c r="FQ1930" s="56"/>
      <c r="FR1930" s="56"/>
      <c r="FS1930" s="56"/>
      <c r="FT1930" s="56"/>
      <c r="FU1930" s="56"/>
      <c r="FV1930" s="56"/>
      <c r="FW1930" s="56"/>
      <c r="FX1930" s="56"/>
      <c r="FY1930" s="56"/>
      <c r="FZ1930" s="56"/>
      <c r="GA1930" s="56"/>
      <c r="GB1930" s="56"/>
      <c r="GC1930" s="56"/>
      <c r="GD1930" s="56"/>
      <c r="GE1930" s="56"/>
      <c r="GF1930" s="56"/>
    </row>
    <row r="1931" spans="1:48" s="18" customFormat="1" ht="16.5" customHeight="1">
      <c r="A1931" s="50"/>
      <c r="B1931" s="93" t="s">
        <v>669</v>
      </c>
      <c r="C1931" s="16"/>
      <c r="D1931" s="52"/>
      <c r="E1931" s="52"/>
      <c r="F1931" s="52"/>
      <c r="G1931" s="52"/>
      <c r="H1931" s="52"/>
      <c r="I1931" s="52"/>
      <c r="J1931" s="52"/>
      <c r="K1931" s="52"/>
      <c r="L1931" s="60">
        <f>SUM(L1932:L1933)</f>
        <v>20</v>
      </c>
      <c r="M1931" s="60">
        <f>SUM(M1932:M1933)</f>
        <v>20</v>
      </c>
      <c r="N1931" s="60">
        <f>SUM(N1932:N1933)</f>
        <v>20</v>
      </c>
      <c r="O1931" s="60">
        <f>SUM(O1932:O1933)</f>
        <v>20</v>
      </c>
      <c r="P1931" s="60">
        <f>SUM(P1932:P1933)</f>
        <v>20</v>
      </c>
      <c r="Q1931" s="23"/>
      <c r="R1931" s="23"/>
      <c r="S1931" s="17"/>
      <c r="T1931" s="47"/>
      <c r="U1931" s="47"/>
      <c r="V1931" s="47"/>
      <c r="W1931" s="47"/>
      <c r="X1931" s="47"/>
      <c r="Y1931" s="47"/>
      <c r="Z1931" s="47"/>
      <c r="AA1931" s="47"/>
      <c r="AB1931" s="47"/>
      <c r="AC1931" s="47"/>
      <c r="AD1931" s="47"/>
      <c r="AE1931" s="47"/>
      <c r="AF1931" s="47"/>
      <c r="AG1931" s="47"/>
      <c r="AH1931" s="47"/>
      <c r="AI1931" s="47"/>
      <c r="AJ1931" s="47"/>
      <c r="AK1931" s="47"/>
      <c r="AL1931" s="47"/>
      <c r="AM1931" s="47"/>
      <c r="AN1931" s="47"/>
      <c r="AO1931" s="47"/>
      <c r="AP1931" s="47"/>
      <c r="AQ1931" s="47"/>
      <c r="AR1931" s="47"/>
      <c r="AS1931" s="47"/>
      <c r="AT1931" s="47"/>
      <c r="AU1931" s="47"/>
      <c r="AV1931" s="47"/>
    </row>
    <row r="1932" spans="1:187" s="5" customFormat="1" ht="16.5" customHeight="1">
      <c r="A1932" s="12"/>
      <c r="B1932" s="97" t="s">
        <v>599</v>
      </c>
      <c r="C1932" s="15" t="s">
        <v>600</v>
      </c>
      <c r="D1932" s="40"/>
      <c r="E1932" s="40"/>
      <c r="F1932" s="40"/>
      <c r="G1932" s="40"/>
      <c r="H1932" s="40"/>
      <c r="I1932" s="40"/>
      <c r="J1932" s="40"/>
      <c r="K1932" s="40"/>
      <c r="L1932" s="40">
        <v>10</v>
      </c>
      <c r="M1932" s="40">
        <v>10</v>
      </c>
      <c r="N1932" s="40">
        <v>10</v>
      </c>
      <c r="O1932" s="40">
        <v>10</v>
      </c>
      <c r="P1932" s="40">
        <v>10</v>
      </c>
      <c r="Q1932" s="73" t="s">
        <v>556</v>
      </c>
      <c r="R1932" s="40" t="s">
        <v>556</v>
      </c>
      <c r="S1932" s="40" t="s">
        <v>556</v>
      </c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  <c r="BB1932" s="4"/>
      <c r="BC1932" s="4"/>
      <c r="BD1932" s="4"/>
      <c r="BE1932" s="4"/>
      <c r="BF1932" s="4"/>
      <c r="BG1932" s="4"/>
      <c r="BH1932" s="4"/>
      <c r="BI1932" s="4"/>
      <c r="BJ1932" s="4"/>
      <c r="BK1932" s="4"/>
      <c r="BL1932" s="4"/>
      <c r="BM1932" s="4"/>
      <c r="BN1932" s="4"/>
      <c r="BO1932" s="4"/>
      <c r="BP1932" s="4"/>
      <c r="BQ1932" s="4"/>
      <c r="BR1932" s="4"/>
      <c r="BS1932" s="4"/>
      <c r="BT1932" s="4"/>
      <c r="BU1932" s="4"/>
      <c r="BV1932" s="4"/>
      <c r="BW1932" s="4"/>
      <c r="BX1932" s="4"/>
      <c r="BY1932" s="4"/>
      <c r="BZ1932" s="4"/>
      <c r="CA1932" s="4"/>
      <c r="CB1932" s="4"/>
      <c r="CC1932" s="4"/>
      <c r="CD1932" s="4"/>
      <c r="CE1932" s="4"/>
      <c r="CF1932" s="4"/>
      <c r="CG1932" s="4"/>
      <c r="CH1932" s="4"/>
      <c r="CI1932" s="4"/>
      <c r="CJ1932" s="4"/>
      <c r="CK1932" s="4"/>
      <c r="CL1932" s="4"/>
      <c r="CM1932" s="4"/>
      <c r="CN1932" s="4"/>
      <c r="CO1932" s="4"/>
      <c r="CP1932" s="4"/>
      <c r="CQ1932" s="4"/>
      <c r="CR1932" s="4"/>
      <c r="CS1932" s="4"/>
      <c r="CT1932" s="4"/>
      <c r="CU1932" s="4"/>
      <c r="CV1932" s="4"/>
      <c r="CW1932" s="4"/>
      <c r="CX1932" s="4"/>
      <c r="CY1932" s="4"/>
      <c r="CZ1932" s="4"/>
      <c r="DA1932" s="4"/>
      <c r="DB1932" s="4"/>
      <c r="DC1932" s="4"/>
      <c r="DD1932" s="4"/>
      <c r="DE1932" s="4"/>
      <c r="DF1932" s="4"/>
      <c r="DG1932" s="4"/>
      <c r="DH1932" s="4"/>
      <c r="DI1932" s="4"/>
      <c r="DJ1932" s="4"/>
      <c r="DK1932" s="4"/>
      <c r="DL1932" s="4"/>
      <c r="DM1932" s="4"/>
      <c r="DN1932" s="4"/>
      <c r="DO1932" s="4"/>
      <c r="DP1932" s="4"/>
      <c r="DQ1932" s="4"/>
      <c r="DR1932" s="4"/>
      <c r="DS1932" s="4"/>
      <c r="DT1932" s="4"/>
      <c r="DU1932" s="4"/>
      <c r="DV1932" s="4"/>
      <c r="DW1932" s="4"/>
      <c r="DX1932" s="4"/>
      <c r="DY1932" s="4"/>
      <c r="DZ1932" s="4"/>
      <c r="EA1932" s="4"/>
      <c r="EB1932" s="4"/>
      <c r="EC1932" s="4"/>
      <c r="ED1932" s="4"/>
      <c r="EE1932" s="4"/>
      <c r="EF1932" s="4"/>
      <c r="EG1932" s="4"/>
      <c r="EH1932" s="4"/>
      <c r="EI1932" s="4"/>
      <c r="EJ1932" s="4"/>
      <c r="EK1932" s="4"/>
      <c r="EL1932" s="4"/>
      <c r="EM1932" s="4"/>
      <c r="EN1932" s="4"/>
      <c r="EO1932" s="4"/>
      <c r="EP1932" s="4"/>
      <c r="EQ1932" s="4"/>
      <c r="ER1932" s="4"/>
      <c r="ES1932" s="4"/>
      <c r="ET1932" s="4"/>
      <c r="EU1932" s="4"/>
      <c r="EV1932" s="4"/>
      <c r="EW1932" s="4"/>
      <c r="EX1932" s="4"/>
      <c r="EY1932" s="4"/>
      <c r="EZ1932" s="4"/>
      <c r="FA1932" s="4"/>
      <c r="FB1932" s="4"/>
      <c r="FC1932" s="4"/>
      <c r="FD1932" s="4"/>
      <c r="FE1932" s="4"/>
      <c r="FF1932" s="4"/>
      <c r="FG1932" s="4"/>
      <c r="FH1932" s="4"/>
      <c r="FI1932" s="4"/>
      <c r="FJ1932" s="4"/>
      <c r="FK1932" s="4"/>
      <c r="FL1932" s="4"/>
      <c r="FM1932" s="4"/>
      <c r="FN1932" s="4"/>
      <c r="FO1932" s="4"/>
      <c r="FP1932" s="4"/>
      <c r="FQ1932" s="4"/>
      <c r="FR1932" s="4"/>
      <c r="FS1932" s="4"/>
      <c r="FT1932" s="4"/>
      <c r="FU1932" s="4"/>
      <c r="FV1932" s="4"/>
      <c r="FW1932" s="4"/>
      <c r="FX1932" s="4"/>
      <c r="FY1932" s="4"/>
      <c r="FZ1932" s="4"/>
      <c r="GA1932" s="4"/>
      <c r="GB1932" s="4"/>
      <c r="GC1932" s="4"/>
      <c r="GD1932" s="4"/>
      <c r="GE1932" s="4"/>
    </row>
    <row r="1933" spans="1:187" s="5" customFormat="1" ht="16.5" customHeight="1">
      <c r="A1933" s="12"/>
      <c r="B1933" s="97" t="s">
        <v>930</v>
      </c>
      <c r="C1933" s="29" t="s">
        <v>931</v>
      </c>
      <c r="D1933" s="40"/>
      <c r="E1933" s="40"/>
      <c r="F1933" s="40"/>
      <c r="G1933" s="40"/>
      <c r="H1933" s="40"/>
      <c r="I1933" s="40"/>
      <c r="J1933" s="40"/>
      <c r="K1933" s="40"/>
      <c r="L1933" s="40">
        <v>10</v>
      </c>
      <c r="M1933" s="40">
        <v>10</v>
      </c>
      <c r="N1933" s="40">
        <v>10</v>
      </c>
      <c r="O1933" s="40">
        <v>10</v>
      </c>
      <c r="P1933" s="40">
        <v>10</v>
      </c>
      <c r="Q1933" s="73" t="s">
        <v>556</v>
      </c>
      <c r="R1933" s="40" t="s">
        <v>556</v>
      </c>
      <c r="S1933" s="40" t="s">
        <v>556</v>
      </c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  <c r="BB1933" s="4"/>
      <c r="BC1933" s="4"/>
      <c r="BD1933" s="4"/>
      <c r="BE1933" s="4"/>
      <c r="BF1933" s="4"/>
      <c r="BG1933" s="4"/>
      <c r="BH1933" s="4"/>
      <c r="BI1933" s="4"/>
      <c r="BJ1933" s="4"/>
      <c r="BK1933" s="4"/>
      <c r="BL1933" s="4"/>
      <c r="BM1933" s="4"/>
      <c r="BN1933" s="4"/>
      <c r="BO1933" s="4"/>
      <c r="BP1933" s="4"/>
      <c r="BQ1933" s="4"/>
      <c r="BR1933" s="4"/>
      <c r="BS1933" s="4"/>
      <c r="BT1933" s="4"/>
      <c r="BU1933" s="4"/>
      <c r="BV1933" s="4"/>
      <c r="BW1933" s="4"/>
      <c r="BX1933" s="4"/>
      <c r="BY1933" s="4"/>
      <c r="BZ1933" s="4"/>
      <c r="CA1933" s="4"/>
      <c r="CB1933" s="4"/>
      <c r="CC1933" s="4"/>
      <c r="CD1933" s="4"/>
      <c r="CE1933" s="4"/>
      <c r="CF1933" s="4"/>
      <c r="CG1933" s="4"/>
      <c r="CH1933" s="4"/>
      <c r="CI1933" s="4"/>
      <c r="CJ1933" s="4"/>
      <c r="CK1933" s="4"/>
      <c r="CL1933" s="4"/>
      <c r="CM1933" s="4"/>
      <c r="CN1933" s="4"/>
      <c r="CO1933" s="4"/>
      <c r="CP1933" s="4"/>
      <c r="CQ1933" s="4"/>
      <c r="CR1933" s="4"/>
      <c r="CS1933" s="4"/>
      <c r="CT1933" s="4"/>
      <c r="CU1933" s="4"/>
      <c r="CV1933" s="4"/>
      <c r="CW1933" s="4"/>
      <c r="CX1933" s="4"/>
      <c r="CY1933" s="4"/>
      <c r="CZ1933" s="4"/>
      <c r="DA1933" s="4"/>
      <c r="DB1933" s="4"/>
      <c r="DC1933" s="4"/>
      <c r="DD1933" s="4"/>
      <c r="DE1933" s="4"/>
      <c r="DF1933" s="4"/>
      <c r="DG1933" s="4"/>
      <c r="DH1933" s="4"/>
      <c r="DI1933" s="4"/>
      <c r="DJ1933" s="4"/>
      <c r="DK1933" s="4"/>
      <c r="DL1933" s="4"/>
      <c r="DM1933" s="4"/>
      <c r="DN1933" s="4"/>
      <c r="DO1933" s="4"/>
      <c r="DP1933" s="4"/>
      <c r="DQ1933" s="4"/>
      <c r="DR1933" s="4"/>
      <c r="DS1933" s="4"/>
      <c r="DT1933" s="4"/>
      <c r="DU1933" s="4"/>
      <c r="DV1933" s="4"/>
      <c r="DW1933" s="4"/>
      <c r="DX1933" s="4"/>
      <c r="DY1933" s="4"/>
      <c r="DZ1933" s="4"/>
      <c r="EA1933" s="4"/>
      <c r="EB1933" s="4"/>
      <c r="EC1933" s="4"/>
      <c r="ED1933" s="4"/>
      <c r="EE1933" s="4"/>
      <c r="EF1933" s="4"/>
      <c r="EG1933" s="4"/>
      <c r="EH1933" s="4"/>
      <c r="EI1933" s="4"/>
      <c r="EJ1933" s="4"/>
      <c r="EK1933" s="4"/>
      <c r="EL1933" s="4"/>
      <c r="EM1933" s="4"/>
      <c r="EN1933" s="4"/>
      <c r="EO1933" s="4"/>
      <c r="EP1933" s="4"/>
      <c r="EQ1933" s="4"/>
      <c r="ER1933" s="4"/>
      <c r="ES1933" s="4"/>
      <c r="ET1933" s="4"/>
      <c r="EU1933" s="4"/>
      <c r="EV1933" s="4"/>
      <c r="EW1933" s="4"/>
      <c r="EX1933" s="4"/>
      <c r="EY1933" s="4"/>
      <c r="EZ1933" s="4"/>
      <c r="FA1933" s="4"/>
      <c r="FB1933" s="4"/>
      <c r="FC1933" s="4"/>
      <c r="FD1933" s="4"/>
      <c r="FE1933" s="4"/>
      <c r="FF1933" s="4"/>
      <c r="FG1933" s="4"/>
      <c r="FH1933" s="4"/>
      <c r="FI1933" s="4"/>
      <c r="FJ1933" s="4"/>
      <c r="FK1933" s="4"/>
      <c r="FL1933" s="4"/>
      <c r="FM1933" s="4"/>
      <c r="FN1933" s="4"/>
      <c r="FO1933" s="4"/>
      <c r="FP1933" s="4"/>
      <c r="FQ1933" s="4"/>
      <c r="FR1933" s="4"/>
      <c r="FS1933" s="4"/>
      <c r="FT1933" s="4"/>
      <c r="FU1933" s="4"/>
      <c r="FV1933" s="4"/>
      <c r="FW1933" s="4"/>
      <c r="FX1933" s="4"/>
      <c r="FY1933" s="4"/>
      <c r="FZ1933" s="4"/>
      <c r="GA1933" s="4"/>
      <c r="GB1933" s="4"/>
      <c r="GC1933" s="4"/>
      <c r="GD1933" s="4"/>
      <c r="GE1933" s="4"/>
    </row>
    <row r="1934" spans="1:48" s="18" customFormat="1" ht="16.5" customHeight="1">
      <c r="A1934" s="50"/>
      <c r="B1934" s="93" t="s">
        <v>670</v>
      </c>
      <c r="C1934" s="16"/>
      <c r="D1934" s="52"/>
      <c r="E1934" s="52"/>
      <c r="F1934" s="52"/>
      <c r="G1934" s="52"/>
      <c r="H1934" s="52"/>
      <c r="I1934" s="52"/>
      <c r="J1934" s="52"/>
      <c r="K1934" s="52"/>
      <c r="L1934" s="60">
        <f>SUM(L1935:L1936)</f>
        <v>4</v>
      </c>
      <c r="M1934" s="60">
        <f>SUM(M1935:M1936)</f>
        <v>5</v>
      </c>
      <c r="N1934" s="60">
        <f>SUM(N1935:N1936)</f>
        <v>6</v>
      </c>
      <c r="O1934" s="60">
        <f>SUM(O1935:O1936)</f>
        <v>6</v>
      </c>
      <c r="P1934" s="60">
        <f>SUM(P1935:P1936)</f>
        <v>6</v>
      </c>
      <c r="Q1934" s="23"/>
      <c r="R1934" s="23"/>
      <c r="S1934" s="17"/>
      <c r="T1934" s="47"/>
      <c r="U1934" s="47"/>
      <c r="V1934" s="47"/>
      <c r="W1934" s="47"/>
      <c r="X1934" s="47"/>
      <c r="Y1934" s="47"/>
      <c r="Z1934" s="47"/>
      <c r="AA1934" s="47"/>
      <c r="AB1934" s="47"/>
      <c r="AC1934" s="47"/>
      <c r="AD1934" s="47"/>
      <c r="AE1934" s="47"/>
      <c r="AF1934" s="47"/>
      <c r="AG1934" s="47"/>
      <c r="AH1934" s="47"/>
      <c r="AI1934" s="47"/>
      <c r="AJ1934" s="47"/>
      <c r="AK1934" s="47"/>
      <c r="AL1934" s="47"/>
      <c r="AM1934" s="47"/>
      <c r="AN1934" s="47"/>
      <c r="AO1934" s="47"/>
      <c r="AP1934" s="47"/>
      <c r="AQ1934" s="47"/>
      <c r="AR1934" s="47"/>
      <c r="AS1934" s="47"/>
      <c r="AT1934" s="47"/>
      <c r="AU1934" s="47"/>
      <c r="AV1934" s="47"/>
    </row>
    <row r="1935" spans="1:187" s="5" customFormat="1" ht="16.5" customHeight="1">
      <c r="A1935" s="12"/>
      <c r="B1935" s="111" t="s">
        <v>422</v>
      </c>
      <c r="C1935" s="15" t="s">
        <v>423</v>
      </c>
      <c r="D1935" s="40"/>
      <c r="E1935" s="40"/>
      <c r="F1935" s="40"/>
      <c r="G1935" s="40"/>
      <c r="H1935" s="40"/>
      <c r="I1935" s="40"/>
      <c r="J1935" s="40"/>
      <c r="K1935" s="40"/>
      <c r="L1935" s="40">
        <v>2</v>
      </c>
      <c r="M1935" s="40">
        <v>3</v>
      </c>
      <c r="N1935" s="40">
        <v>4</v>
      </c>
      <c r="O1935" s="40">
        <v>4</v>
      </c>
      <c r="P1935" s="40">
        <v>4</v>
      </c>
      <c r="Q1935" s="22"/>
      <c r="R1935" s="22"/>
      <c r="S1935" s="31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  <c r="BB1935" s="4"/>
      <c r="BC1935" s="4"/>
      <c r="BD1935" s="4"/>
      <c r="BE1935" s="4"/>
      <c r="BF1935" s="4"/>
      <c r="BG1935" s="4"/>
      <c r="BH1935" s="4"/>
      <c r="BI1935" s="4"/>
      <c r="BJ1935" s="4"/>
      <c r="BK1935" s="4"/>
      <c r="BL1935" s="4"/>
      <c r="BM1935" s="4"/>
      <c r="BN1935" s="4"/>
      <c r="BO1935" s="4"/>
      <c r="BP1935" s="4"/>
      <c r="BQ1935" s="4"/>
      <c r="BR1935" s="4"/>
      <c r="BS1935" s="4"/>
      <c r="BT1935" s="4"/>
      <c r="BU1935" s="4"/>
      <c r="BV1935" s="4"/>
      <c r="BW1935" s="4"/>
      <c r="BX1935" s="4"/>
      <c r="BY1935" s="4"/>
      <c r="BZ1935" s="4"/>
      <c r="CA1935" s="4"/>
      <c r="CB1935" s="4"/>
      <c r="CC1935" s="4"/>
      <c r="CD1935" s="4"/>
      <c r="CE1935" s="4"/>
      <c r="CF1935" s="4"/>
      <c r="CG1935" s="4"/>
      <c r="CH1935" s="4"/>
      <c r="CI1935" s="4"/>
      <c r="CJ1935" s="4"/>
      <c r="CK1935" s="4"/>
      <c r="CL1935" s="4"/>
      <c r="CM1935" s="4"/>
      <c r="CN1935" s="4"/>
      <c r="CO1935" s="4"/>
      <c r="CP1935" s="4"/>
      <c r="CQ1935" s="4"/>
      <c r="CR1935" s="4"/>
      <c r="CS1935" s="4"/>
      <c r="CT1935" s="4"/>
      <c r="CU1935" s="4"/>
      <c r="CV1935" s="4"/>
      <c r="CW1935" s="4"/>
      <c r="CX1935" s="4"/>
      <c r="CY1935" s="4"/>
      <c r="CZ1935" s="4"/>
      <c r="DA1935" s="4"/>
      <c r="DB1935" s="4"/>
      <c r="DC1935" s="4"/>
      <c r="DD1935" s="4"/>
      <c r="DE1935" s="4"/>
      <c r="DF1935" s="4"/>
      <c r="DG1935" s="4"/>
      <c r="DH1935" s="4"/>
      <c r="DI1935" s="4"/>
      <c r="DJ1935" s="4"/>
      <c r="DK1935" s="4"/>
      <c r="DL1935" s="4"/>
      <c r="DM1935" s="4"/>
      <c r="DN1935" s="4"/>
      <c r="DO1935" s="4"/>
      <c r="DP1935" s="4"/>
      <c r="DQ1935" s="4"/>
      <c r="DR1935" s="4"/>
      <c r="DS1935" s="4"/>
      <c r="DT1935" s="4"/>
      <c r="DU1935" s="4"/>
      <c r="DV1935" s="4"/>
      <c r="DW1935" s="4"/>
      <c r="DX1935" s="4"/>
      <c r="DY1935" s="4"/>
      <c r="DZ1935" s="4"/>
      <c r="EA1935" s="4"/>
      <c r="EB1935" s="4"/>
      <c r="EC1935" s="4"/>
      <c r="ED1935" s="4"/>
      <c r="EE1935" s="4"/>
      <c r="EF1935" s="4"/>
      <c r="EG1935" s="4"/>
      <c r="EH1935" s="4"/>
      <c r="EI1935" s="4"/>
      <c r="EJ1935" s="4"/>
      <c r="EK1935" s="4"/>
      <c r="EL1935" s="4"/>
      <c r="EM1935" s="4"/>
      <c r="EN1935" s="4"/>
      <c r="EO1935" s="4"/>
      <c r="EP1935" s="4"/>
      <c r="EQ1935" s="4"/>
      <c r="ER1935" s="4"/>
      <c r="ES1935" s="4"/>
      <c r="ET1935" s="4"/>
      <c r="EU1935" s="4"/>
      <c r="EV1935" s="4"/>
      <c r="EW1935" s="4"/>
      <c r="EX1935" s="4"/>
      <c r="EY1935" s="4"/>
      <c r="EZ1935" s="4"/>
      <c r="FA1935" s="4"/>
      <c r="FB1935" s="4"/>
      <c r="FC1935" s="4"/>
      <c r="FD1935" s="4"/>
      <c r="FE1935" s="4"/>
      <c r="FF1935" s="4"/>
      <c r="FG1935" s="4"/>
      <c r="FH1935" s="4"/>
      <c r="FI1935" s="4"/>
      <c r="FJ1935" s="4"/>
      <c r="FK1935" s="4"/>
      <c r="FL1935" s="4"/>
      <c r="FM1935" s="4"/>
      <c r="FN1935" s="4"/>
      <c r="FO1935" s="4"/>
      <c r="FP1935" s="4"/>
      <c r="FQ1935" s="4"/>
      <c r="FR1935" s="4"/>
      <c r="FS1935" s="4"/>
      <c r="FT1935" s="4"/>
      <c r="FU1935" s="4"/>
      <c r="FV1935" s="4"/>
      <c r="FW1935" s="4"/>
      <c r="FX1935" s="4"/>
      <c r="FY1935" s="4"/>
      <c r="FZ1935" s="4"/>
      <c r="GA1935" s="4"/>
      <c r="GB1935" s="4"/>
      <c r="GC1935" s="4"/>
      <c r="GD1935" s="4"/>
      <c r="GE1935" s="4"/>
    </row>
    <row r="1936" spans="1:187" s="5" customFormat="1" ht="16.5" customHeight="1">
      <c r="A1936" s="12"/>
      <c r="B1936" s="97" t="s">
        <v>84</v>
      </c>
      <c r="C1936" s="15" t="s">
        <v>85</v>
      </c>
      <c r="D1936" s="40"/>
      <c r="E1936" s="40"/>
      <c r="F1936" s="40"/>
      <c r="G1936" s="40"/>
      <c r="H1936" s="40"/>
      <c r="I1936" s="40"/>
      <c r="J1936" s="40"/>
      <c r="K1936" s="40"/>
      <c r="L1936" s="40">
        <v>2</v>
      </c>
      <c r="M1936" s="40">
        <v>2</v>
      </c>
      <c r="N1936" s="40">
        <v>2</v>
      </c>
      <c r="O1936" s="40">
        <v>2</v>
      </c>
      <c r="P1936" s="40">
        <v>2</v>
      </c>
      <c r="Q1936" s="22"/>
      <c r="R1936" s="22"/>
      <c r="S1936" s="31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  <c r="BB1936" s="4"/>
      <c r="BC1936" s="4"/>
      <c r="BD1936" s="4"/>
      <c r="BE1936" s="4"/>
      <c r="BF1936" s="4"/>
      <c r="BG1936" s="4"/>
      <c r="BH1936" s="4"/>
      <c r="BI1936" s="4"/>
      <c r="BJ1936" s="4"/>
      <c r="BK1936" s="4"/>
      <c r="BL1936" s="4"/>
      <c r="BM1936" s="4"/>
      <c r="BN1936" s="4"/>
      <c r="BO1936" s="4"/>
      <c r="BP1936" s="4"/>
      <c r="BQ1936" s="4"/>
      <c r="BR1936" s="4"/>
      <c r="BS1936" s="4"/>
      <c r="BT1936" s="4"/>
      <c r="BU1936" s="4"/>
      <c r="BV1936" s="4"/>
      <c r="BW1936" s="4"/>
      <c r="BX1936" s="4"/>
      <c r="BY1936" s="4"/>
      <c r="BZ1936" s="4"/>
      <c r="CA1936" s="4"/>
      <c r="CB1936" s="4"/>
      <c r="CC1936" s="4"/>
      <c r="CD1936" s="4"/>
      <c r="CE1936" s="4"/>
      <c r="CF1936" s="4"/>
      <c r="CG1936" s="4"/>
      <c r="CH1936" s="4"/>
      <c r="CI1936" s="4"/>
      <c r="CJ1936" s="4"/>
      <c r="CK1936" s="4"/>
      <c r="CL1936" s="4"/>
      <c r="CM1936" s="4"/>
      <c r="CN1936" s="4"/>
      <c r="CO1936" s="4"/>
      <c r="CP1936" s="4"/>
      <c r="CQ1936" s="4"/>
      <c r="CR1936" s="4"/>
      <c r="CS1936" s="4"/>
      <c r="CT1936" s="4"/>
      <c r="CU1936" s="4"/>
      <c r="CV1936" s="4"/>
      <c r="CW1936" s="4"/>
      <c r="CX1936" s="4"/>
      <c r="CY1936" s="4"/>
      <c r="CZ1936" s="4"/>
      <c r="DA1936" s="4"/>
      <c r="DB1936" s="4"/>
      <c r="DC1936" s="4"/>
      <c r="DD1936" s="4"/>
      <c r="DE1936" s="4"/>
      <c r="DF1936" s="4"/>
      <c r="DG1936" s="4"/>
      <c r="DH1936" s="4"/>
      <c r="DI1936" s="4"/>
      <c r="DJ1936" s="4"/>
      <c r="DK1936" s="4"/>
      <c r="DL1936" s="4"/>
      <c r="DM1936" s="4"/>
      <c r="DN1936" s="4"/>
      <c r="DO1936" s="4"/>
      <c r="DP1936" s="4"/>
      <c r="DQ1936" s="4"/>
      <c r="DR1936" s="4"/>
      <c r="DS1936" s="4"/>
      <c r="DT1936" s="4"/>
      <c r="DU1936" s="4"/>
      <c r="DV1936" s="4"/>
      <c r="DW1936" s="4"/>
      <c r="DX1936" s="4"/>
      <c r="DY1936" s="4"/>
      <c r="DZ1936" s="4"/>
      <c r="EA1936" s="4"/>
      <c r="EB1936" s="4"/>
      <c r="EC1936" s="4"/>
      <c r="ED1936" s="4"/>
      <c r="EE1936" s="4"/>
      <c r="EF1936" s="4"/>
      <c r="EG1936" s="4"/>
      <c r="EH1936" s="4"/>
      <c r="EI1936" s="4"/>
      <c r="EJ1936" s="4"/>
      <c r="EK1936" s="4"/>
      <c r="EL1936" s="4"/>
      <c r="EM1936" s="4"/>
      <c r="EN1936" s="4"/>
      <c r="EO1936" s="4"/>
      <c r="EP1936" s="4"/>
      <c r="EQ1936" s="4"/>
      <c r="ER1936" s="4"/>
      <c r="ES1936" s="4"/>
      <c r="ET1936" s="4"/>
      <c r="EU1936" s="4"/>
      <c r="EV1936" s="4"/>
      <c r="EW1936" s="4"/>
      <c r="EX1936" s="4"/>
      <c r="EY1936" s="4"/>
      <c r="EZ1936" s="4"/>
      <c r="FA1936" s="4"/>
      <c r="FB1936" s="4"/>
      <c r="FC1936" s="4"/>
      <c r="FD1936" s="4"/>
      <c r="FE1936" s="4"/>
      <c r="FF1936" s="4"/>
      <c r="FG1936" s="4"/>
      <c r="FH1936" s="4"/>
      <c r="FI1936" s="4"/>
      <c r="FJ1936" s="4"/>
      <c r="FK1936" s="4"/>
      <c r="FL1936" s="4"/>
      <c r="FM1936" s="4"/>
      <c r="FN1936" s="4"/>
      <c r="FO1936" s="4"/>
      <c r="FP1936" s="4"/>
      <c r="FQ1936" s="4"/>
      <c r="FR1936" s="4"/>
      <c r="FS1936" s="4"/>
      <c r="FT1936" s="4"/>
      <c r="FU1936" s="4"/>
      <c r="FV1936" s="4"/>
      <c r="FW1936" s="4"/>
      <c r="FX1936" s="4"/>
      <c r="FY1936" s="4"/>
      <c r="FZ1936" s="4"/>
      <c r="GA1936" s="4"/>
      <c r="GB1936" s="4"/>
      <c r="GC1936" s="4"/>
      <c r="GD1936" s="4"/>
      <c r="GE1936" s="4"/>
    </row>
    <row r="1937" spans="1:19" ht="15" customHeight="1">
      <c r="A1937" s="399" t="s">
        <v>663</v>
      </c>
      <c r="B1937" s="399"/>
      <c r="C1937" s="399"/>
      <c r="D1937" s="399"/>
      <c r="E1937" s="399"/>
      <c r="F1937" s="399"/>
      <c r="G1937" s="399"/>
      <c r="H1937" s="399"/>
      <c r="I1937" s="399"/>
      <c r="J1937" s="399"/>
      <c r="K1937" s="399"/>
      <c r="L1937" s="399"/>
      <c r="M1937" s="399"/>
      <c r="N1937" s="399"/>
      <c r="O1937" s="399"/>
      <c r="P1937" s="399"/>
      <c r="Q1937" s="20"/>
      <c r="R1937" s="20"/>
      <c r="S1937" s="7"/>
    </row>
    <row r="1938" spans="1:19" ht="15" customHeight="1">
      <c r="A1938" s="400" t="s">
        <v>676</v>
      </c>
      <c r="B1938" s="400"/>
      <c r="C1938" s="400"/>
      <c r="D1938" s="400"/>
      <c r="E1938" s="400"/>
      <c r="F1938" s="400"/>
      <c r="G1938" s="400"/>
      <c r="H1938" s="400"/>
      <c r="I1938" s="400"/>
      <c r="J1938" s="400"/>
      <c r="K1938" s="400"/>
      <c r="L1938" s="400"/>
      <c r="M1938" s="400"/>
      <c r="N1938" s="400"/>
      <c r="O1938" s="400"/>
      <c r="P1938" s="400"/>
      <c r="Q1938" s="20"/>
      <c r="R1938" s="20"/>
      <c r="S1938" s="7"/>
    </row>
    <row r="1939" spans="1:188" s="57" customFormat="1" ht="17.25" customHeight="1">
      <c r="A1939" s="13">
        <v>27</v>
      </c>
      <c r="B1939" s="92" t="s">
        <v>306</v>
      </c>
      <c r="C1939" s="45"/>
      <c r="D1939" s="44">
        <v>200</v>
      </c>
      <c r="E1939" s="44">
        <v>64</v>
      </c>
      <c r="F1939" s="44">
        <v>157</v>
      </c>
      <c r="G1939" s="44">
        <v>200</v>
      </c>
      <c r="H1939" s="44">
        <v>200</v>
      </c>
      <c r="I1939" s="44">
        <v>200</v>
      </c>
      <c r="J1939" s="44">
        <v>200</v>
      </c>
      <c r="K1939" s="44">
        <v>200</v>
      </c>
      <c r="L1939" s="44">
        <f>SUM(L1940,L1946,L1948)</f>
        <v>5</v>
      </c>
      <c r="M1939" s="44">
        <f>SUM(M1940,M1946,M1948)</f>
        <v>3</v>
      </c>
      <c r="N1939" s="44">
        <f>SUM(N1940,N1946,N1948)</f>
        <v>6</v>
      </c>
      <c r="O1939" s="44">
        <f>SUM(O1940,O1946,O1948)</f>
        <v>2</v>
      </c>
      <c r="P1939" s="44">
        <f>SUM(P1940,P1946,P1948)</f>
        <v>6</v>
      </c>
      <c r="Q1939" s="54" t="s">
        <v>648</v>
      </c>
      <c r="R1939" s="54">
        <v>4</v>
      </c>
      <c r="S1939" s="55" t="s">
        <v>533</v>
      </c>
      <c r="T1939" s="56"/>
      <c r="U1939" s="56"/>
      <c r="V1939" s="56"/>
      <c r="W1939" s="56"/>
      <c r="X1939" s="56"/>
      <c r="Y1939" s="56"/>
      <c r="Z1939" s="56"/>
      <c r="AA1939" s="56"/>
      <c r="AB1939" s="56"/>
      <c r="AC1939" s="56"/>
      <c r="AD1939" s="56"/>
      <c r="AE1939" s="56"/>
      <c r="AF1939" s="56"/>
      <c r="AG1939" s="56"/>
      <c r="AH1939" s="56"/>
      <c r="AI1939" s="56"/>
      <c r="AJ1939" s="56"/>
      <c r="AK1939" s="56"/>
      <c r="AL1939" s="56"/>
      <c r="AM1939" s="56"/>
      <c r="AN1939" s="56"/>
      <c r="AO1939" s="56"/>
      <c r="AP1939" s="56"/>
      <c r="AQ1939" s="56"/>
      <c r="AR1939" s="56"/>
      <c r="AS1939" s="56"/>
      <c r="AT1939" s="56"/>
      <c r="AU1939" s="56"/>
      <c r="AV1939" s="56"/>
      <c r="AW1939" s="56"/>
      <c r="AX1939" s="56"/>
      <c r="AY1939" s="56"/>
      <c r="AZ1939" s="56"/>
      <c r="BA1939" s="56"/>
      <c r="BB1939" s="56"/>
      <c r="BC1939" s="56"/>
      <c r="BD1939" s="56"/>
      <c r="BE1939" s="56"/>
      <c r="BF1939" s="56"/>
      <c r="BG1939" s="56"/>
      <c r="BH1939" s="56"/>
      <c r="BI1939" s="56"/>
      <c r="BJ1939" s="56"/>
      <c r="BK1939" s="56"/>
      <c r="BL1939" s="56"/>
      <c r="BM1939" s="56"/>
      <c r="BN1939" s="56"/>
      <c r="BO1939" s="56"/>
      <c r="BP1939" s="56"/>
      <c r="BQ1939" s="56"/>
      <c r="BR1939" s="56"/>
      <c r="BS1939" s="56"/>
      <c r="BT1939" s="56"/>
      <c r="BU1939" s="56"/>
      <c r="BV1939" s="56"/>
      <c r="BW1939" s="56"/>
      <c r="BX1939" s="56"/>
      <c r="BY1939" s="56"/>
      <c r="BZ1939" s="56"/>
      <c r="CA1939" s="56"/>
      <c r="CB1939" s="56"/>
      <c r="CC1939" s="56"/>
      <c r="CD1939" s="56"/>
      <c r="CE1939" s="56"/>
      <c r="CF1939" s="56"/>
      <c r="CG1939" s="56"/>
      <c r="CH1939" s="56"/>
      <c r="CI1939" s="56"/>
      <c r="CJ1939" s="56"/>
      <c r="CK1939" s="56"/>
      <c r="CL1939" s="56"/>
      <c r="CM1939" s="56"/>
      <c r="CN1939" s="56"/>
      <c r="CO1939" s="56"/>
      <c r="CP1939" s="56"/>
      <c r="CQ1939" s="56"/>
      <c r="CR1939" s="56"/>
      <c r="CS1939" s="56"/>
      <c r="CT1939" s="56"/>
      <c r="CU1939" s="56"/>
      <c r="CV1939" s="56"/>
      <c r="CW1939" s="56"/>
      <c r="CX1939" s="56"/>
      <c r="CY1939" s="56"/>
      <c r="CZ1939" s="56"/>
      <c r="DA1939" s="56"/>
      <c r="DB1939" s="56"/>
      <c r="DC1939" s="56"/>
      <c r="DD1939" s="56"/>
      <c r="DE1939" s="56"/>
      <c r="DF1939" s="56"/>
      <c r="DG1939" s="56"/>
      <c r="DH1939" s="56"/>
      <c r="DI1939" s="56"/>
      <c r="DJ1939" s="56"/>
      <c r="DK1939" s="56"/>
      <c r="DL1939" s="56"/>
      <c r="DM1939" s="56"/>
      <c r="DN1939" s="56"/>
      <c r="DO1939" s="56"/>
      <c r="DP1939" s="56"/>
      <c r="DQ1939" s="56"/>
      <c r="DR1939" s="56"/>
      <c r="DS1939" s="56"/>
      <c r="DT1939" s="56"/>
      <c r="DU1939" s="56"/>
      <c r="DV1939" s="56"/>
      <c r="DW1939" s="56"/>
      <c r="DX1939" s="56"/>
      <c r="DY1939" s="56"/>
      <c r="DZ1939" s="56"/>
      <c r="EA1939" s="56"/>
      <c r="EB1939" s="56"/>
      <c r="EC1939" s="56"/>
      <c r="ED1939" s="56"/>
      <c r="EE1939" s="56"/>
      <c r="EF1939" s="56"/>
      <c r="EG1939" s="56"/>
      <c r="EH1939" s="56"/>
      <c r="EI1939" s="56"/>
      <c r="EJ1939" s="56"/>
      <c r="EK1939" s="56"/>
      <c r="EL1939" s="56"/>
      <c r="EM1939" s="56"/>
      <c r="EN1939" s="56"/>
      <c r="EO1939" s="56"/>
      <c r="EP1939" s="56"/>
      <c r="EQ1939" s="56"/>
      <c r="ER1939" s="56"/>
      <c r="ES1939" s="56"/>
      <c r="ET1939" s="56"/>
      <c r="EU1939" s="56"/>
      <c r="EV1939" s="56"/>
      <c r="EW1939" s="56"/>
      <c r="EX1939" s="56"/>
      <c r="EY1939" s="56"/>
      <c r="EZ1939" s="56"/>
      <c r="FA1939" s="56"/>
      <c r="FB1939" s="56"/>
      <c r="FC1939" s="56"/>
      <c r="FD1939" s="56"/>
      <c r="FE1939" s="56"/>
      <c r="FF1939" s="56"/>
      <c r="FG1939" s="56"/>
      <c r="FH1939" s="56"/>
      <c r="FI1939" s="56"/>
      <c r="FJ1939" s="56"/>
      <c r="FK1939" s="56"/>
      <c r="FL1939" s="56"/>
      <c r="FM1939" s="56"/>
      <c r="FN1939" s="56"/>
      <c r="FO1939" s="56"/>
      <c r="FP1939" s="56"/>
      <c r="FQ1939" s="56"/>
      <c r="FR1939" s="56"/>
      <c r="FS1939" s="56"/>
      <c r="FT1939" s="56"/>
      <c r="FU1939" s="56"/>
      <c r="FV1939" s="56"/>
      <c r="FW1939" s="56"/>
      <c r="FX1939" s="56"/>
      <c r="FY1939" s="56"/>
      <c r="FZ1939" s="56"/>
      <c r="GA1939" s="56"/>
      <c r="GB1939" s="56"/>
      <c r="GC1939" s="56"/>
      <c r="GD1939" s="56"/>
      <c r="GE1939" s="56"/>
      <c r="GF1939" s="56"/>
    </row>
    <row r="1940" spans="1:48" s="18" customFormat="1" ht="17.25" customHeight="1">
      <c r="A1940" s="50"/>
      <c r="B1940" s="93" t="s">
        <v>669</v>
      </c>
      <c r="C1940" s="16"/>
      <c r="D1940" s="52"/>
      <c r="E1940" s="52"/>
      <c r="F1940" s="52"/>
      <c r="G1940" s="52"/>
      <c r="H1940" s="52"/>
      <c r="I1940" s="52"/>
      <c r="J1940" s="52"/>
      <c r="K1940" s="52"/>
      <c r="L1940" s="60">
        <f>SUM(L1941:L1945)</f>
        <v>4</v>
      </c>
      <c r="M1940" s="60">
        <f>SUM(M1941:M1945)</f>
        <v>2</v>
      </c>
      <c r="N1940" s="60">
        <f>SUM(N1941:N1945)</f>
        <v>4</v>
      </c>
      <c r="O1940" s="60">
        <f>SUM(O1941:O1945)</f>
        <v>1</v>
      </c>
      <c r="P1940" s="60">
        <f>SUM(P1941:P1945)</f>
        <v>5</v>
      </c>
      <c r="Q1940" s="23"/>
      <c r="R1940" s="23"/>
      <c r="S1940" s="17"/>
      <c r="T1940" s="47"/>
      <c r="U1940" s="47"/>
      <c r="V1940" s="47"/>
      <c r="W1940" s="47"/>
      <c r="X1940" s="47"/>
      <c r="Y1940" s="47"/>
      <c r="Z1940" s="47"/>
      <c r="AA1940" s="47"/>
      <c r="AB1940" s="47"/>
      <c r="AC1940" s="47"/>
      <c r="AD1940" s="47"/>
      <c r="AE1940" s="47"/>
      <c r="AF1940" s="47"/>
      <c r="AG1940" s="47"/>
      <c r="AH1940" s="47"/>
      <c r="AI1940" s="47"/>
      <c r="AJ1940" s="47"/>
      <c r="AK1940" s="47"/>
      <c r="AL1940" s="47"/>
      <c r="AM1940" s="47"/>
      <c r="AN1940" s="47"/>
      <c r="AO1940" s="47"/>
      <c r="AP1940" s="47"/>
      <c r="AQ1940" s="47"/>
      <c r="AR1940" s="47"/>
      <c r="AS1940" s="47"/>
      <c r="AT1940" s="47"/>
      <c r="AU1940" s="47"/>
      <c r="AV1940" s="47"/>
    </row>
    <row r="1941" spans="1:48" s="27" customFormat="1" ht="17.25" customHeight="1">
      <c r="A1941" s="12"/>
      <c r="B1941" s="97" t="s">
        <v>10</v>
      </c>
      <c r="C1941" s="29" t="s">
        <v>28</v>
      </c>
      <c r="D1941" s="51"/>
      <c r="E1941" s="40"/>
      <c r="F1941" s="51"/>
      <c r="G1941" s="51"/>
      <c r="H1941" s="51"/>
      <c r="I1941" s="51"/>
      <c r="J1941" s="51"/>
      <c r="K1941" s="51"/>
      <c r="L1941" s="40">
        <v>1</v>
      </c>
      <c r="M1941" s="40" t="s">
        <v>556</v>
      </c>
      <c r="N1941" s="40">
        <v>1</v>
      </c>
      <c r="O1941" s="40">
        <v>1</v>
      </c>
      <c r="P1941" s="40" t="s">
        <v>556</v>
      </c>
      <c r="Q1941" s="30"/>
      <c r="R1941" s="30"/>
      <c r="S1941" s="30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</row>
    <row r="1942" spans="1:48" s="27" customFormat="1" ht="17.25" customHeight="1">
      <c r="A1942" s="12"/>
      <c r="B1942" s="97" t="s">
        <v>564</v>
      </c>
      <c r="C1942" s="29" t="s">
        <v>565</v>
      </c>
      <c r="D1942" s="51"/>
      <c r="E1942" s="40"/>
      <c r="F1942" s="51"/>
      <c r="G1942" s="51"/>
      <c r="H1942" s="51"/>
      <c r="I1942" s="51"/>
      <c r="J1942" s="51"/>
      <c r="K1942" s="51"/>
      <c r="L1942" s="40" t="s">
        <v>556</v>
      </c>
      <c r="M1942" s="40" t="s">
        <v>556</v>
      </c>
      <c r="N1942" s="40">
        <v>1</v>
      </c>
      <c r="O1942" s="40" t="s">
        <v>556</v>
      </c>
      <c r="P1942" s="40" t="s">
        <v>556</v>
      </c>
      <c r="Q1942" s="30"/>
      <c r="R1942" s="30"/>
      <c r="S1942" s="30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</row>
    <row r="1943" spans="1:48" s="27" customFormat="1" ht="17.25" customHeight="1">
      <c r="A1943" s="12"/>
      <c r="B1943" s="97" t="s">
        <v>448</v>
      </c>
      <c r="C1943" s="29" t="s">
        <v>449</v>
      </c>
      <c r="D1943" s="51"/>
      <c r="E1943" s="40"/>
      <c r="F1943" s="51"/>
      <c r="G1943" s="51"/>
      <c r="H1943" s="51"/>
      <c r="I1943" s="51"/>
      <c r="J1943" s="51"/>
      <c r="K1943" s="51"/>
      <c r="L1943" s="40">
        <v>2</v>
      </c>
      <c r="M1943" s="40">
        <v>2</v>
      </c>
      <c r="N1943" s="40">
        <v>2</v>
      </c>
      <c r="O1943" s="40" t="s">
        <v>556</v>
      </c>
      <c r="P1943" s="40">
        <v>4</v>
      </c>
      <c r="Q1943" s="30"/>
      <c r="R1943" s="30"/>
      <c r="S1943" s="30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</row>
    <row r="1944" spans="1:48" s="27" customFormat="1" ht="17.25" customHeight="1">
      <c r="A1944" s="12"/>
      <c r="B1944" s="97" t="s">
        <v>1343</v>
      </c>
      <c r="C1944" s="15" t="s">
        <v>1344</v>
      </c>
      <c r="D1944" s="51"/>
      <c r="E1944" s="40"/>
      <c r="F1944" s="51"/>
      <c r="G1944" s="51"/>
      <c r="H1944" s="51"/>
      <c r="I1944" s="51"/>
      <c r="J1944" s="51"/>
      <c r="K1944" s="51"/>
      <c r="L1944" s="40">
        <v>1</v>
      </c>
      <c r="M1944" s="40" t="s">
        <v>556</v>
      </c>
      <c r="N1944" s="40" t="s">
        <v>556</v>
      </c>
      <c r="O1944" s="40" t="s">
        <v>556</v>
      </c>
      <c r="P1944" s="40" t="s">
        <v>556</v>
      </c>
      <c r="Q1944" s="30"/>
      <c r="R1944" s="30"/>
      <c r="S1944" s="30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</row>
    <row r="1945" spans="1:48" s="27" customFormat="1" ht="17.25" customHeight="1">
      <c r="A1945" s="12"/>
      <c r="B1945" s="97" t="s">
        <v>560</v>
      </c>
      <c r="C1945" s="29" t="s">
        <v>1319</v>
      </c>
      <c r="D1945" s="51"/>
      <c r="E1945" s="40"/>
      <c r="F1945" s="51"/>
      <c r="G1945" s="51"/>
      <c r="H1945" s="51"/>
      <c r="I1945" s="51"/>
      <c r="J1945" s="51"/>
      <c r="K1945" s="51"/>
      <c r="L1945" s="40" t="s">
        <v>556</v>
      </c>
      <c r="M1945" s="40" t="s">
        <v>556</v>
      </c>
      <c r="N1945" s="40" t="s">
        <v>556</v>
      </c>
      <c r="O1945" s="40" t="s">
        <v>556</v>
      </c>
      <c r="P1945" s="40">
        <v>1</v>
      </c>
      <c r="Q1945" s="30"/>
      <c r="R1945" s="30"/>
      <c r="S1945" s="30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</row>
    <row r="1946" spans="1:48" s="18" customFormat="1" ht="17.25" customHeight="1">
      <c r="A1946" s="50"/>
      <c r="B1946" s="93" t="s">
        <v>670</v>
      </c>
      <c r="C1946" s="16"/>
      <c r="D1946" s="52"/>
      <c r="E1946" s="52"/>
      <c r="F1946" s="52"/>
      <c r="G1946" s="52"/>
      <c r="H1946" s="52"/>
      <c r="I1946" s="52"/>
      <c r="J1946" s="52"/>
      <c r="K1946" s="52"/>
      <c r="L1946" s="60" t="str">
        <f>L1947</f>
        <v> -</v>
      </c>
      <c r="M1946" s="60" t="str">
        <f>M1947</f>
        <v> -</v>
      </c>
      <c r="N1946" s="60">
        <f>N1947</f>
        <v>1</v>
      </c>
      <c r="O1946" s="60">
        <f>O1947</f>
        <v>1</v>
      </c>
      <c r="P1946" s="60" t="str">
        <f>P1947</f>
        <v> -</v>
      </c>
      <c r="Q1946" s="23"/>
      <c r="R1946" s="23"/>
      <c r="S1946" s="17"/>
      <c r="T1946" s="47"/>
      <c r="U1946" s="47"/>
      <c r="V1946" s="47"/>
      <c r="W1946" s="47"/>
      <c r="X1946" s="47"/>
      <c r="Y1946" s="47"/>
      <c r="Z1946" s="47"/>
      <c r="AA1946" s="47"/>
      <c r="AB1946" s="47"/>
      <c r="AC1946" s="47"/>
      <c r="AD1946" s="47"/>
      <c r="AE1946" s="47"/>
      <c r="AF1946" s="47"/>
      <c r="AG1946" s="47"/>
      <c r="AH1946" s="47"/>
      <c r="AI1946" s="47"/>
      <c r="AJ1946" s="47"/>
      <c r="AK1946" s="47"/>
      <c r="AL1946" s="47"/>
      <c r="AM1946" s="47"/>
      <c r="AN1946" s="47"/>
      <c r="AO1946" s="47"/>
      <c r="AP1946" s="47"/>
      <c r="AQ1946" s="47"/>
      <c r="AR1946" s="47"/>
      <c r="AS1946" s="47"/>
      <c r="AT1946" s="47"/>
      <c r="AU1946" s="47"/>
      <c r="AV1946" s="47"/>
    </row>
    <row r="1947" spans="1:48" s="27" customFormat="1" ht="17.25" customHeight="1">
      <c r="A1947" s="12"/>
      <c r="B1947" s="97" t="s">
        <v>561</v>
      </c>
      <c r="C1947" s="66" t="s">
        <v>804</v>
      </c>
      <c r="D1947" s="51"/>
      <c r="E1947" s="40"/>
      <c r="F1947" s="51"/>
      <c r="G1947" s="51"/>
      <c r="H1947" s="51"/>
      <c r="I1947" s="51"/>
      <c r="J1947" s="51"/>
      <c r="K1947" s="51"/>
      <c r="L1947" s="40" t="s">
        <v>556</v>
      </c>
      <c r="M1947" s="40" t="s">
        <v>556</v>
      </c>
      <c r="N1947" s="40">
        <v>1</v>
      </c>
      <c r="O1947" s="40">
        <v>1</v>
      </c>
      <c r="P1947" s="40" t="s">
        <v>556</v>
      </c>
      <c r="Q1947" s="30"/>
      <c r="R1947" s="30"/>
      <c r="S1947" s="30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</row>
    <row r="1948" spans="1:48" s="18" customFormat="1" ht="17.25" customHeight="1">
      <c r="A1948" s="50"/>
      <c r="B1948" s="93" t="s">
        <v>37</v>
      </c>
      <c r="C1948" s="16"/>
      <c r="D1948" s="52"/>
      <c r="E1948" s="52"/>
      <c r="F1948" s="52"/>
      <c r="G1948" s="52"/>
      <c r="H1948" s="52"/>
      <c r="I1948" s="52"/>
      <c r="J1948" s="52"/>
      <c r="K1948" s="52"/>
      <c r="L1948" s="60">
        <f>SUM(L1949:L1951)</f>
        <v>1</v>
      </c>
      <c r="M1948" s="60">
        <f>SUM(M1949:M1951)</f>
        <v>1</v>
      </c>
      <c r="N1948" s="60">
        <f>SUM(N1949:N1951)</f>
        <v>1</v>
      </c>
      <c r="O1948" s="60" t="s">
        <v>556</v>
      </c>
      <c r="P1948" s="60">
        <f>SUM(P1949:P1951)</f>
        <v>1</v>
      </c>
      <c r="Q1948" s="23"/>
      <c r="R1948" s="23"/>
      <c r="S1948" s="17"/>
      <c r="T1948" s="47"/>
      <c r="U1948" s="47"/>
      <c r="V1948" s="47"/>
      <c r="W1948" s="47"/>
      <c r="X1948" s="47"/>
      <c r="Y1948" s="47"/>
      <c r="Z1948" s="47"/>
      <c r="AA1948" s="47"/>
      <c r="AB1948" s="47"/>
      <c r="AC1948" s="47"/>
      <c r="AD1948" s="47"/>
      <c r="AE1948" s="47"/>
      <c r="AF1948" s="47"/>
      <c r="AG1948" s="47"/>
      <c r="AH1948" s="47"/>
      <c r="AI1948" s="47"/>
      <c r="AJ1948" s="47"/>
      <c r="AK1948" s="47"/>
      <c r="AL1948" s="47"/>
      <c r="AM1948" s="47"/>
      <c r="AN1948" s="47"/>
      <c r="AO1948" s="47"/>
      <c r="AP1948" s="47"/>
      <c r="AQ1948" s="47"/>
      <c r="AR1948" s="47"/>
      <c r="AS1948" s="47"/>
      <c r="AT1948" s="47"/>
      <c r="AU1948" s="47"/>
      <c r="AV1948" s="47"/>
    </row>
    <row r="1949" spans="1:48" s="27" customFormat="1" ht="17.25" customHeight="1">
      <c r="A1949" s="12"/>
      <c r="B1949" s="105" t="s">
        <v>119</v>
      </c>
      <c r="C1949" s="15" t="s">
        <v>120</v>
      </c>
      <c r="D1949" s="51"/>
      <c r="E1949" s="40"/>
      <c r="F1949" s="51"/>
      <c r="G1949" s="51"/>
      <c r="H1949" s="51"/>
      <c r="I1949" s="51"/>
      <c r="J1949" s="51"/>
      <c r="K1949" s="51"/>
      <c r="L1949" s="40" t="s">
        <v>556</v>
      </c>
      <c r="M1949" s="40" t="s">
        <v>556</v>
      </c>
      <c r="N1949" s="40">
        <v>1</v>
      </c>
      <c r="O1949" s="40" t="s">
        <v>556</v>
      </c>
      <c r="P1949" s="40">
        <v>1</v>
      </c>
      <c r="Q1949" s="30"/>
      <c r="R1949" s="30"/>
      <c r="S1949" s="30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</row>
    <row r="1950" spans="1:48" s="27" customFormat="1" ht="17.25" customHeight="1">
      <c r="A1950" s="12"/>
      <c r="B1950" s="106" t="s">
        <v>1018</v>
      </c>
      <c r="C1950" s="66" t="s">
        <v>1019</v>
      </c>
      <c r="D1950" s="51"/>
      <c r="E1950" s="40"/>
      <c r="F1950" s="51"/>
      <c r="G1950" s="51"/>
      <c r="H1950" s="51"/>
      <c r="I1950" s="51"/>
      <c r="J1950" s="51"/>
      <c r="K1950" s="51"/>
      <c r="L1950" s="40">
        <v>1</v>
      </c>
      <c r="M1950" s="40" t="s">
        <v>556</v>
      </c>
      <c r="N1950" s="40" t="s">
        <v>556</v>
      </c>
      <c r="O1950" s="40" t="s">
        <v>556</v>
      </c>
      <c r="P1950" s="40" t="s">
        <v>556</v>
      </c>
      <c r="Q1950" s="30"/>
      <c r="R1950" s="30"/>
      <c r="S1950" s="30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</row>
    <row r="1951" spans="1:48" s="27" customFormat="1" ht="17.25" customHeight="1">
      <c r="A1951" s="12"/>
      <c r="B1951" s="97" t="s">
        <v>38</v>
      </c>
      <c r="C1951" s="66" t="s">
        <v>457</v>
      </c>
      <c r="D1951" s="51"/>
      <c r="E1951" s="40"/>
      <c r="F1951" s="51"/>
      <c r="G1951" s="51"/>
      <c r="H1951" s="51"/>
      <c r="I1951" s="51"/>
      <c r="J1951" s="51"/>
      <c r="K1951" s="51"/>
      <c r="L1951" s="40" t="s">
        <v>556</v>
      </c>
      <c r="M1951" s="40">
        <v>1</v>
      </c>
      <c r="N1951" s="40" t="s">
        <v>556</v>
      </c>
      <c r="O1951" s="40" t="s">
        <v>556</v>
      </c>
      <c r="P1951" s="40" t="s">
        <v>556</v>
      </c>
      <c r="Q1951" s="30"/>
      <c r="R1951" s="30"/>
      <c r="S1951" s="30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</row>
    <row r="1952" spans="1:19" ht="13.5" customHeight="1">
      <c r="A1952" s="400" t="s">
        <v>909</v>
      </c>
      <c r="B1952" s="400"/>
      <c r="C1952" s="400"/>
      <c r="D1952" s="400"/>
      <c r="E1952" s="400"/>
      <c r="F1952" s="400"/>
      <c r="G1952" s="400"/>
      <c r="H1952" s="400"/>
      <c r="I1952" s="400"/>
      <c r="J1952" s="400"/>
      <c r="K1952" s="400"/>
      <c r="L1952" s="400"/>
      <c r="M1952" s="400"/>
      <c r="N1952" s="400"/>
      <c r="O1952" s="400"/>
      <c r="P1952" s="400"/>
      <c r="Q1952" s="21"/>
      <c r="R1952" s="21"/>
      <c r="S1952" s="8"/>
    </row>
    <row r="1953" spans="1:188" s="57" customFormat="1" ht="18.75" customHeight="1">
      <c r="A1953" s="13">
        <v>28</v>
      </c>
      <c r="B1953" s="92" t="s">
        <v>305</v>
      </c>
      <c r="C1953" s="45"/>
      <c r="D1953" s="44">
        <v>42</v>
      </c>
      <c r="E1953" s="44">
        <v>11</v>
      </c>
      <c r="F1953" s="44">
        <v>62</v>
      </c>
      <c r="G1953" s="44">
        <v>43</v>
      </c>
      <c r="H1953" s="44">
        <v>46</v>
      </c>
      <c r="I1953" s="44">
        <v>46</v>
      </c>
      <c r="J1953" s="44">
        <v>47</v>
      </c>
      <c r="K1953" s="44">
        <v>51</v>
      </c>
      <c r="L1953" s="44">
        <f>SUM(L1954,L1960)</f>
        <v>2</v>
      </c>
      <c r="M1953" s="44">
        <f>SUM(M1954,M1960)</f>
        <v>4</v>
      </c>
      <c r="N1953" s="44">
        <f>SUM(N1954,N1960)</f>
        <v>2</v>
      </c>
      <c r="O1953" s="44">
        <f>SUM(O1954,O1960)</f>
        <v>3</v>
      </c>
      <c r="P1953" s="44">
        <f>SUM(P1954,P1960)</f>
        <v>5</v>
      </c>
      <c r="Q1953" s="54" t="s">
        <v>648</v>
      </c>
      <c r="R1953" s="54">
        <v>4</v>
      </c>
      <c r="S1953" s="55" t="s">
        <v>552</v>
      </c>
      <c r="T1953" s="56"/>
      <c r="U1953" s="56"/>
      <c r="V1953" s="56"/>
      <c r="W1953" s="56"/>
      <c r="X1953" s="56"/>
      <c r="Y1953" s="56"/>
      <c r="Z1953" s="56"/>
      <c r="AA1953" s="56"/>
      <c r="AB1953" s="56"/>
      <c r="AC1953" s="56"/>
      <c r="AD1953" s="56"/>
      <c r="AE1953" s="56"/>
      <c r="AF1953" s="56"/>
      <c r="AG1953" s="56"/>
      <c r="AH1953" s="56"/>
      <c r="AI1953" s="56"/>
      <c r="AJ1953" s="56"/>
      <c r="AK1953" s="56"/>
      <c r="AL1953" s="56"/>
      <c r="AM1953" s="56"/>
      <c r="AN1953" s="56"/>
      <c r="AO1953" s="56"/>
      <c r="AP1953" s="56"/>
      <c r="AQ1953" s="56"/>
      <c r="AR1953" s="56"/>
      <c r="AS1953" s="56"/>
      <c r="AT1953" s="56"/>
      <c r="AU1953" s="56"/>
      <c r="AV1953" s="56"/>
      <c r="AW1953" s="56"/>
      <c r="AX1953" s="56"/>
      <c r="AY1953" s="56"/>
      <c r="AZ1953" s="56"/>
      <c r="BA1953" s="56"/>
      <c r="BB1953" s="56"/>
      <c r="BC1953" s="56"/>
      <c r="BD1953" s="56"/>
      <c r="BE1953" s="56"/>
      <c r="BF1953" s="56"/>
      <c r="BG1953" s="56"/>
      <c r="BH1953" s="56"/>
      <c r="BI1953" s="56"/>
      <c r="BJ1953" s="56"/>
      <c r="BK1953" s="56"/>
      <c r="BL1953" s="56"/>
      <c r="BM1953" s="56"/>
      <c r="BN1953" s="56"/>
      <c r="BO1953" s="56"/>
      <c r="BP1953" s="56"/>
      <c r="BQ1953" s="56"/>
      <c r="BR1953" s="56"/>
      <c r="BS1953" s="56"/>
      <c r="BT1953" s="56"/>
      <c r="BU1953" s="56"/>
      <c r="BV1953" s="56"/>
      <c r="BW1953" s="56"/>
      <c r="BX1953" s="56"/>
      <c r="BY1953" s="56"/>
      <c r="BZ1953" s="56"/>
      <c r="CA1953" s="56"/>
      <c r="CB1953" s="56"/>
      <c r="CC1953" s="56"/>
      <c r="CD1953" s="56"/>
      <c r="CE1953" s="56"/>
      <c r="CF1953" s="56"/>
      <c r="CG1953" s="56"/>
      <c r="CH1953" s="56"/>
      <c r="CI1953" s="56"/>
      <c r="CJ1953" s="56"/>
      <c r="CK1953" s="56"/>
      <c r="CL1953" s="56"/>
      <c r="CM1953" s="56"/>
      <c r="CN1953" s="56"/>
      <c r="CO1953" s="56"/>
      <c r="CP1953" s="56"/>
      <c r="CQ1953" s="56"/>
      <c r="CR1953" s="56"/>
      <c r="CS1953" s="56"/>
      <c r="CT1953" s="56"/>
      <c r="CU1953" s="56"/>
      <c r="CV1953" s="56"/>
      <c r="CW1953" s="56"/>
      <c r="CX1953" s="56"/>
      <c r="CY1953" s="56"/>
      <c r="CZ1953" s="56"/>
      <c r="DA1953" s="56"/>
      <c r="DB1953" s="56"/>
      <c r="DC1953" s="56"/>
      <c r="DD1953" s="56"/>
      <c r="DE1953" s="56"/>
      <c r="DF1953" s="56"/>
      <c r="DG1953" s="56"/>
      <c r="DH1953" s="56"/>
      <c r="DI1953" s="56"/>
      <c r="DJ1953" s="56"/>
      <c r="DK1953" s="56"/>
      <c r="DL1953" s="56"/>
      <c r="DM1953" s="56"/>
      <c r="DN1953" s="56"/>
      <c r="DO1953" s="56"/>
      <c r="DP1953" s="56"/>
      <c r="DQ1953" s="56"/>
      <c r="DR1953" s="56"/>
      <c r="DS1953" s="56"/>
      <c r="DT1953" s="56"/>
      <c r="DU1953" s="56"/>
      <c r="DV1953" s="56"/>
      <c r="DW1953" s="56"/>
      <c r="DX1953" s="56"/>
      <c r="DY1953" s="56"/>
      <c r="DZ1953" s="56"/>
      <c r="EA1953" s="56"/>
      <c r="EB1953" s="56"/>
      <c r="EC1953" s="56"/>
      <c r="ED1953" s="56"/>
      <c r="EE1953" s="56"/>
      <c r="EF1953" s="56"/>
      <c r="EG1953" s="56"/>
      <c r="EH1953" s="56"/>
      <c r="EI1953" s="56"/>
      <c r="EJ1953" s="56"/>
      <c r="EK1953" s="56"/>
      <c r="EL1953" s="56"/>
      <c r="EM1953" s="56"/>
      <c r="EN1953" s="56"/>
      <c r="EO1953" s="56"/>
      <c r="EP1953" s="56"/>
      <c r="EQ1953" s="56"/>
      <c r="ER1953" s="56"/>
      <c r="ES1953" s="56"/>
      <c r="ET1953" s="56"/>
      <c r="EU1953" s="56"/>
      <c r="EV1953" s="56"/>
      <c r="EW1953" s="56"/>
      <c r="EX1953" s="56"/>
      <c r="EY1953" s="56"/>
      <c r="EZ1953" s="56"/>
      <c r="FA1953" s="56"/>
      <c r="FB1953" s="56"/>
      <c r="FC1953" s="56"/>
      <c r="FD1953" s="56"/>
      <c r="FE1953" s="56"/>
      <c r="FF1953" s="56"/>
      <c r="FG1953" s="56"/>
      <c r="FH1953" s="56"/>
      <c r="FI1953" s="56"/>
      <c r="FJ1953" s="56"/>
      <c r="FK1953" s="56"/>
      <c r="FL1953" s="56"/>
      <c r="FM1953" s="56"/>
      <c r="FN1953" s="56"/>
      <c r="FO1953" s="56"/>
      <c r="FP1953" s="56"/>
      <c r="FQ1953" s="56"/>
      <c r="FR1953" s="56"/>
      <c r="FS1953" s="56"/>
      <c r="FT1953" s="56"/>
      <c r="FU1953" s="56"/>
      <c r="FV1953" s="56"/>
      <c r="FW1953" s="56"/>
      <c r="FX1953" s="56"/>
      <c r="FY1953" s="56"/>
      <c r="FZ1953" s="56"/>
      <c r="GA1953" s="56"/>
      <c r="GB1953" s="56"/>
      <c r="GC1953" s="56"/>
      <c r="GD1953" s="56"/>
      <c r="GE1953" s="56"/>
      <c r="GF1953" s="56"/>
    </row>
    <row r="1954" spans="1:48" s="18" customFormat="1" ht="15.75" customHeight="1">
      <c r="A1954" s="50"/>
      <c r="B1954" s="93" t="s">
        <v>669</v>
      </c>
      <c r="C1954" s="16"/>
      <c r="D1954" s="52"/>
      <c r="E1954" s="52"/>
      <c r="F1954" s="52"/>
      <c r="G1954" s="52"/>
      <c r="H1954" s="52"/>
      <c r="I1954" s="52"/>
      <c r="J1954" s="52"/>
      <c r="K1954" s="52"/>
      <c r="L1954" s="60">
        <f>SUM(L1955:L1959)</f>
        <v>1</v>
      </c>
      <c r="M1954" s="60">
        <f>SUM(M1955:M1959)</f>
        <v>4</v>
      </c>
      <c r="N1954" s="60">
        <f>SUM(N1955:N1959)</f>
        <v>1</v>
      </c>
      <c r="O1954" s="60">
        <f>SUM(O1955:O1959)</f>
        <v>2</v>
      </c>
      <c r="P1954" s="60">
        <f>SUM(P1955:P1959)</f>
        <v>0</v>
      </c>
      <c r="Q1954" s="23"/>
      <c r="R1954" s="23"/>
      <c r="S1954" s="17"/>
      <c r="T1954" s="47"/>
      <c r="U1954" s="47"/>
      <c r="V1954" s="47"/>
      <c r="W1954" s="47"/>
      <c r="X1954" s="47"/>
      <c r="Y1954" s="47"/>
      <c r="Z1954" s="47"/>
      <c r="AA1954" s="47"/>
      <c r="AB1954" s="47"/>
      <c r="AC1954" s="47"/>
      <c r="AD1954" s="47"/>
      <c r="AE1954" s="47"/>
      <c r="AF1954" s="47"/>
      <c r="AG1954" s="47"/>
      <c r="AH1954" s="47"/>
      <c r="AI1954" s="47"/>
      <c r="AJ1954" s="47"/>
      <c r="AK1954" s="47"/>
      <c r="AL1954" s="47"/>
      <c r="AM1954" s="47"/>
      <c r="AN1954" s="47"/>
      <c r="AO1954" s="47"/>
      <c r="AP1954" s="47"/>
      <c r="AQ1954" s="47"/>
      <c r="AR1954" s="47"/>
      <c r="AS1954" s="47"/>
      <c r="AT1954" s="47"/>
      <c r="AU1954" s="47"/>
      <c r="AV1954" s="47"/>
    </row>
    <row r="1955" spans="1:48" s="27" customFormat="1" ht="15.75" customHeight="1">
      <c r="A1955" s="12"/>
      <c r="B1955" s="97" t="s">
        <v>897</v>
      </c>
      <c r="C1955" s="29" t="s">
        <v>898</v>
      </c>
      <c r="D1955" s="51"/>
      <c r="E1955" s="40"/>
      <c r="F1955" s="51"/>
      <c r="G1955" s="51"/>
      <c r="H1955" s="51"/>
      <c r="I1955" s="51"/>
      <c r="J1955" s="51"/>
      <c r="K1955" s="51"/>
      <c r="L1955" s="40" t="s">
        <v>556</v>
      </c>
      <c r="M1955" s="40">
        <v>1</v>
      </c>
      <c r="N1955" s="40" t="s">
        <v>556</v>
      </c>
      <c r="O1955" s="40" t="s">
        <v>556</v>
      </c>
      <c r="P1955" s="40" t="s">
        <v>556</v>
      </c>
      <c r="Q1955" s="30"/>
      <c r="R1955" s="30"/>
      <c r="S1955" s="30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</row>
    <row r="1956" spans="1:48" s="27" customFormat="1" ht="15.75" customHeight="1">
      <c r="A1956" s="12"/>
      <c r="B1956" s="97" t="s">
        <v>901</v>
      </c>
      <c r="C1956" s="29" t="s">
        <v>902</v>
      </c>
      <c r="D1956" s="51"/>
      <c r="E1956" s="40"/>
      <c r="F1956" s="51"/>
      <c r="G1956" s="51"/>
      <c r="H1956" s="51"/>
      <c r="I1956" s="51"/>
      <c r="J1956" s="51"/>
      <c r="K1956" s="51"/>
      <c r="L1956" s="40" t="s">
        <v>556</v>
      </c>
      <c r="M1956" s="40" t="s">
        <v>556</v>
      </c>
      <c r="N1956" s="40">
        <v>1</v>
      </c>
      <c r="O1956" s="40" t="s">
        <v>556</v>
      </c>
      <c r="P1956" s="40" t="s">
        <v>556</v>
      </c>
      <c r="Q1956" s="30"/>
      <c r="R1956" s="30"/>
      <c r="S1956" s="30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</row>
    <row r="1957" spans="1:48" s="27" customFormat="1" ht="15.75" customHeight="1">
      <c r="A1957" s="12"/>
      <c r="B1957" s="97" t="s">
        <v>930</v>
      </c>
      <c r="C1957" s="29" t="s">
        <v>931</v>
      </c>
      <c r="D1957" s="51"/>
      <c r="E1957" s="40"/>
      <c r="F1957" s="51"/>
      <c r="G1957" s="51"/>
      <c r="H1957" s="51"/>
      <c r="I1957" s="51"/>
      <c r="J1957" s="51"/>
      <c r="K1957" s="51"/>
      <c r="L1957" s="40" t="s">
        <v>556</v>
      </c>
      <c r="M1957" s="40">
        <v>2</v>
      </c>
      <c r="N1957" s="40" t="s">
        <v>556</v>
      </c>
      <c r="O1957" s="40" t="s">
        <v>556</v>
      </c>
      <c r="P1957" s="40" t="s">
        <v>556</v>
      </c>
      <c r="Q1957" s="30"/>
      <c r="R1957" s="30"/>
      <c r="S1957" s="30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</row>
    <row r="1958" spans="1:48" s="27" customFormat="1" ht="15.75" customHeight="1">
      <c r="A1958" s="12"/>
      <c r="B1958" s="97" t="s">
        <v>594</v>
      </c>
      <c r="C1958" s="29" t="s">
        <v>783</v>
      </c>
      <c r="D1958" s="51"/>
      <c r="E1958" s="40"/>
      <c r="F1958" s="51"/>
      <c r="G1958" s="51"/>
      <c r="H1958" s="51"/>
      <c r="I1958" s="51"/>
      <c r="J1958" s="51"/>
      <c r="K1958" s="51"/>
      <c r="L1958" s="40">
        <v>1</v>
      </c>
      <c r="M1958" s="40" t="s">
        <v>556</v>
      </c>
      <c r="N1958" s="40" t="s">
        <v>556</v>
      </c>
      <c r="O1958" s="40" t="s">
        <v>556</v>
      </c>
      <c r="P1958" s="40" t="s">
        <v>556</v>
      </c>
      <c r="Q1958" s="30"/>
      <c r="R1958" s="30"/>
      <c r="S1958" s="30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</row>
    <row r="1959" spans="1:48" s="27" customFormat="1" ht="15.75" customHeight="1">
      <c r="A1959" s="12"/>
      <c r="B1959" s="97" t="s">
        <v>1301</v>
      </c>
      <c r="C1959" s="29" t="s">
        <v>1302</v>
      </c>
      <c r="D1959" s="51"/>
      <c r="E1959" s="40"/>
      <c r="F1959" s="51"/>
      <c r="G1959" s="51"/>
      <c r="H1959" s="51"/>
      <c r="I1959" s="51"/>
      <c r="J1959" s="51"/>
      <c r="K1959" s="51"/>
      <c r="L1959" s="40" t="s">
        <v>556</v>
      </c>
      <c r="M1959" s="40">
        <v>1</v>
      </c>
      <c r="N1959" s="40" t="s">
        <v>556</v>
      </c>
      <c r="O1959" s="40">
        <v>2</v>
      </c>
      <c r="P1959" s="40" t="s">
        <v>556</v>
      </c>
      <c r="Q1959" s="30"/>
      <c r="R1959" s="30"/>
      <c r="S1959" s="30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</row>
    <row r="1960" spans="1:48" s="18" customFormat="1" ht="15.75" customHeight="1">
      <c r="A1960" s="50"/>
      <c r="B1960" s="93" t="s">
        <v>670</v>
      </c>
      <c r="C1960" s="16"/>
      <c r="D1960" s="52"/>
      <c r="E1960" s="52"/>
      <c r="F1960" s="52"/>
      <c r="G1960" s="52"/>
      <c r="H1960" s="52"/>
      <c r="I1960" s="52"/>
      <c r="J1960" s="52"/>
      <c r="K1960" s="52"/>
      <c r="L1960" s="60">
        <f>SUM(L1961:L1963)</f>
        <v>1</v>
      </c>
      <c r="M1960" s="60" t="s">
        <v>556</v>
      </c>
      <c r="N1960" s="60">
        <f>SUM(N1961:N1963)</f>
        <v>1</v>
      </c>
      <c r="O1960" s="60">
        <f>SUM(O1961:O1963)</f>
        <v>1</v>
      </c>
      <c r="P1960" s="60">
        <f>SUM(P1961:P1963)</f>
        <v>5</v>
      </c>
      <c r="Q1960" s="23"/>
      <c r="R1960" s="23"/>
      <c r="S1960" s="17"/>
      <c r="T1960" s="47"/>
      <c r="U1960" s="47"/>
      <c r="V1960" s="47"/>
      <c r="W1960" s="47"/>
      <c r="X1960" s="47"/>
      <c r="Y1960" s="47"/>
      <c r="Z1960" s="47"/>
      <c r="AA1960" s="47"/>
      <c r="AB1960" s="47"/>
      <c r="AC1960" s="47"/>
      <c r="AD1960" s="47"/>
      <c r="AE1960" s="47"/>
      <c r="AF1960" s="47"/>
      <c r="AG1960" s="47"/>
      <c r="AH1960" s="47"/>
      <c r="AI1960" s="47"/>
      <c r="AJ1960" s="47"/>
      <c r="AK1960" s="47"/>
      <c r="AL1960" s="47"/>
      <c r="AM1960" s="47"/>
      <c r="AN1960" s="47"/>
      <c r="AO1960" s="47"/>
      <c r="AP1960" s="47"/>
      <c r="AQ1960" s="47"/>
      <c r="AR1960" s="47"/>
      <c r="AS1960" s="47"/>
      <c r="AT1960" s="47"/>
      <c r="AU1960" s="47"/>
      <c r="AV1960" s="47"/>
    </row>
    <row r="1961" spans="1:48" s="27" customFormat="1" ht="15.75" customHeight="1">
      <c r="A1961" s="12"/>
      <c r="B1961" s="97" t="s">
        <v>1299</v>
      </c>
      <c r="C1961" s="15" t="s">
        <v>1300</v>
      </c>
      <c r="D1961" s="51"/>
      <c r="E1961" s="51"/>
      <c r="F1961" s="51"/>
      <c r="G1961" s="51"/>
      <c r="H1961" s="51"/>
      <c r="I1961" s="51"/>
      <c r="J1961" s="51"/>
      <c r="K1961" s="51"/>
      <c r="L1961" s="40">
        <v>1</v>
      </c>
      <c r="M1961" s="40" t="s">
        <v>556</v>
      </c>
      <c r="N1961" s="40">
        <v>1</v>
      </c>
      <c r="O1961" s="40" t="s">
        <v>556</v>
      </c>
      <c r="P1961" s="40" t="s">
        <v>556</v>
      </c>
      <c r="Q1961" s="30"/>
      <c r="R1961" s="30"/>
      <c r="S1961" s="30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</row>
    <row r="1962" spans="1:48" s="27" customFormat="1" ht="30" customHeight="1">
      <c r="A1962" s="12"/>
      <c r="B1962" s="107" t="s">
        <v>144</v>
      </c>
      <c r="C1962" s="15" t="s">
        <v>145</v>
      </c>
      <c r="D1962" s="51"/>
      <c r="E1962" s="51"/>
      <c r="F1962" s="51"/>
      <c r="G1962" s="51"/>
      <c r="H1962" s="51"/>
      <c r="I1962" s="51"/>
      <c r="J1962" s="51"/>
      <c r="K1962" s="51"/>
      <c r="L1962" s="40" t="s">
        <v>556</v>
      </c>
      <c r="M1962" s="40" t="s">
        <v>556</v>
      </c>
      <c r="N1962" s="40" t="s">
        <v>556</v>
      </c>
      <c r="O1962" s="40">
        <v>1</v>
      </c>
      <c r="P1962" s="40" t="s">
        <v>556</v>
      </c>
      <c r="Q1962" s="30"/>
      <c r="R1962" s="30"/>
      <c r="S1962" s="30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</row>
    <row r="1963" spans="1:48" s="27" customFormat="1" ht="17.25" customHeight="1">
      <c r="A1963" s="12"/>
      <c r="B1963" s="105" t="s">
        <v>570</v>
      </c>
      <c r="C1963" s="15" t="s">
        <v>571</v>
      </c>
      <c r="D1963" s="51"/>
      <c r="E1963" s="51"/>
      <c r="F1963" s="51"/>
      <c r="G1963" s="51"/>
      <c r="H1963" s="51"/>
      <c r="I1963" s="51"/>
      <c r="J1963" s="51"/>
      <c r="K1963" s="51"/>
      <c r="L1963" s="40" t="s">
        <v>556</v>
      </c>
      <c r="M1963" s="40" t="s">
        <v>556</v>
      </c>
      <c r="N1963" s="40" t="s">
        <v>556</v>
      </c>
      <c r="O1963" s="40" t="s">
        <v>556</v>
      </c>
      <c r="P1963" s="40">
        <v>5</v>
      </c>
      <c r="Q1963" s="30"/>
      <c r="R1963" s="30"/>
      <c r="S1963" s="30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</row>
    <row r="1964" spans="1:19" ht="15" customHeight="1">
      <c r="A1964" s="399" t="s">
        <v>662</v>
      </c>
      <c r="B1964" s="399"/>
      <c r="C1964" s="399"/>
      <c r="D1964" s="399"/>
      <c r="E1964" s="399"/>
      <c r="F1964" s="399"/>
      <c r="G1964" s="399"/>
      <c r="H1964" s="399"/>
      <c r="I1964" s="399"/>
      <c r="J1964" s="399"/>
      <c r="K1964" s="399"/>
      <c r="L1964" s="399"/>
      <c r="M1964" s="399"/>
      <c r="N1964" s="399"/>
      <c r="O1964" s="399"/>
      <c r="P1964" s="399"/>
      <c r="Q1964" s="20"/>
      <c r="R1964" s="20"/>
      <c r="S1964" s="7"/>
    </row>
    <row r="1965" spans="1:19" ht="13.5" customHeight="1">
      <c r="A1965" s="400" t="s">
        <v>909</v>
      </c>
      <c r="B1965" s="400"/>
      <c r="C1965" s="400"/>
      <c r="D1965" s="400"/>
      <c r="E1965" s="400"/>
      <c r="F1965" s="400"/>
      <c r="G1965" s="400"/>
      <c r="H1965" s="400"/>
      <c r="I1965" s="400"/>
      <c r="J1965" s="400"/>
      <c r="K1965" s="400"/>
      <c r="L1965" s="400"/>
      <c r="M1965" s="400"/>
      <c r="N1965" s="400"/>
      <c r="O1965" s="400"/>
      <c r="P1965" s="400"/>
      <c r="Q1965" s="21"/>
      <c r="R1965" s="21"/>
      <c r="S1965" s="8"/>
    </row>
    <row r="1966" spans="1:188" s="57" customFormat="1" ht="17.25" customHeight="1">
      <c r="A1966" s="13">
        <v>29</v>
      </c>
      <c r="B1966" s="92" t="s">
        <v>292</v>
      </c>
      <c r="C1966" s="45"/>
      <c r="D1966" s="44">
        <v>22</v>
      </c>
      <c r="E1966" s="44"/>
      <c r="F1966" s="44"/>
      <c r="G1966" s="44"/>
      <c r="H1966" s="44"/>
      <c r="I1966" s="44"/>
      <c r="J1966" s="44"/>
      <c r="K1966" s="44"/>
      <c r="L1966" s="44">
        <v>7</v>
      </c>
      <c r="M1966" s="44">
        <v>5</v>
      </c>
      <c r="N1966" s="44">
        <v>1</v>
      </c>
      <c r="O1966" s="44">
        <f>SUM(O1967,O1972)</f>
        <v>0</v>
      </c>
      <c r="P1966" s="44">
        <f>SUM(P1967,P1972)</f>
        <v>0</v>
      </c>
      <c r="Q1966" s="54" t="s">
        <v>648</v>
      </c>
      <c r="R1966" s="54">
        <v>4</v>
      </c>
      <c r="S1966" s="55" t="s">
        <v>533</v>
      </c>
      <c r="T1966" s="56"/>
      <c r="U1966" s="56"/>
      <c r="V1966" s="56"/>
      <c r="W1966" s="56"/>
      <c r="X1966" s="56"/>
      <c r="Y1966" s="56"/>
      <c r="Z1966" s="56"/>
      <c r="AA1966" s="56"/>
      <c r="AB1966" s="56"/>
      <c r="AC1966" s="56"/>
      <c r="AD1966" s="56"/>
      <c r="AE1966" s="56"/>
      <c r="AF1966" s="56"/>
      <c r="AG1966" s="56"/>
      <c r="AH1966" s="56"/>
      <c r="AI1966" s="56"/>
      <c r="AJ1966" s="56"/>
      <c r="AK1966" s="56"/>
      <c r="AL1966" s="56"/>
      <c r="AM1966" s="56"/>
      <c r="AN1966" s="56"/>
      <c r="AO1966" s="56"/>
      <c r="AP1966" s="56"/>
      <c r="AQ1966" s="56"/>
      <c r="AR1966" s="56"/>
      <c r="AS1966" s="56"/>
      <c r="AT1966" s="56"/>
      <c r="AU1966" s="56"/>
      <c r="AV1966" s="56"/>
      <c r="AW1966" s="56"/>
      <c r="AX1966" s="56"/>
      <c r="AY1966" s="56"/>
      <c r="AZ1966" s="56"/>
      <c r="BA1966" s="56"/>
      <c r="BB1966" s="56"/>
      <c r="BC1966" s="56"/>
      <c r="BD1966" s="56"/>
      <c r="BE1966" s="56"/>
      <c r="BF1966" s="56"/>
      <c r="BG1966" s="56"/>
      <c r="BH1966" s="56"/>
      <c r="BI1966" s="56"/>
      <c r="BJ1966" s="56"/>
      <c r="BK1966" s="56"/>
      <c r="BL1966" s="56"/>
      <c r="BM1966" s="56"/>
      <c r="BN1966" s="56"/>
      <c r="BO1966" s="56"/>
      <c r="BP1966" s="56"/>
      <c r="BQ1966" s="56"/>
      <c r="BR1966" s="56"/>
      <c r="BS1966" s="56"/>
      <c r="BT1966" s="56"/>
      <c r="BU1966" s="56"/>
      <c r="BV1966" s="56"/>
      <c r="BW1966" s="56"/>
      <c r="BX1966" s="56"/>
      <c r="BY1966" s="56"/>
      <c r="BZ1966" s="56"/>
      <c r="CA1966" s="56"/>
      <c r="CB1966" s="56"/>
      <c r="CC1966" s="56"/>
      <c r="CD1966" s="56"/>
      <c r="CE1966" s="56"/>
      <c r="CF1966" s="56"/>
      <c r="CG1966" s="56"/>
      <c r="CH1966" s="56"/>
      <c r="CI1966" s="56"/>
      <c r="CJ1966" s="56"/>
      <c r="CK1966" s="56"/>
      <c r="CL1966" s="56"/>
      <c r="CM1966" s="56"/>
      <c r="CN1966" s="56"/>
      <c r="CO1966" s="56"/>
      <c r="CP1966" s="56"/>
      <c r="CQ1966" s="56"/>
      <c r="CR1966" s="56"/>
      <c r="CS1966" s="56"/>
      <c r="CT1966" s="56"/>
      <c r="CU1966" s="56"/>
      <c r="CV1966" s="56"/>
      <c r="CW1966" s="56"/>
      <c r="CX1966" s="56"/>
      <c r="CY1966" s="56"/>
      <c r="CZ1966" s="56"/>
      <c r="DA1966" s="56"/>
      <c r="DB1966" s="56"/>
      <c r="DC1966" s="56"/>
      <c r="DD1966" s="56"/>
      <c r="DE1966" s="56"/>
      <c r="DF1966" s="56"/>
      <c r="DG1966" s="56"/>
      <c r="DH1966" s="56"/>
      <c r="DI1966" s="56"/>
      <c r="DJ1966" s="56"/>
      <c r="DK1966" s="56"/>
      <c r="DL1966" s="56"/>
      <c r="DM1966" s="56"/>
      <c r="DN1966" s="56"/>
      <c r="DO1966" s="56"/>
      <c r="DP1966" s="56"/>
      <c r="DQ1966" s="56"/>
      <c r="DR1966" s="56"/>
      <c r="DS1966" s="56"/>
      <c r="DT1966" s="56"/>
      <c r="DU1966" s="56"/>
      <c r="DV1966" s="56"/>
      <c r="DW1966" s="56"/>
      <c r="DX1966" s="56"/>
      <c r="DY1966" s="56"/>
      <c r="DZ1966" s="56"/>
      <c r="EA1966" s="56"/>
      <c r="EB1966" s="56"/>
      <c r="EC1966" s="56"/>
      <c r="ED1966" s="56"/>
      <c r="EE1966" s="56"/>
      <c r="EF1966" s="56"/>
      <c r="EG1966" s="56"/>
      <c r="EH1966" s="56"/>
      <c r="EI1966" s="56"/>
      <c r="EJ1966" s="56"/>
      <c r="EK1966" s="56"/>
      <c r="EL1966" s="56"/>
      <c r="EM1966" s="56"/>
      <c r="EN1966" s="56"/>
      <c r="EO1966" s="56"/>
      <c r="EP1966" s="56"/>
      <c r="EQ1966" s="56"/>
      <c r="ER1966" s="56"/>
      <c r="ES1966" s="56"/>
      <c r="ET1966" s="56"/>
      <c r="EU1966" s="56"/>
      <c r="EV1966" s="56"/>
      <c r="EW1966" s="56"/>
      <c r="EX1966" s="56"/>
      <c r="EY1966" s="56"/>
      <c r="EZ1966" s="56"/>
      <c r="FA1966" s="56"/>
      <c r="FB1966" s="56"/>
      <c r="FC1966" s="56"/>
      <c r="FD1966" s="56"/>
      <c r="FE1966" s="56"/>
      <c r="FF1966" s="56"/>
      <c r="FG1966" s="56"/>
      <c r="FH1966" s="56"/>
      <c r="FI1966" s="56"/>
      <c r="FJ1966" s="56"/>
      <c r="FK1966" s="56"/>
      <c r="FL1966" s="56"/>
      <c r="FM1966" s="56"/>
      <c r="FN1966" s="56"/>
      <c r="FO1966" s="56"/>
      <c r="FP1966" s="56"/>
      <c r="FQ1966" s="56"/>
      <c r="FR1966" s="56"/>
      <c r="FS1966" s="56"/>
      <c r="FT1966" s="56"/>
      <c r="FU1966" s="56"/>
      <c r="FV1966" s="56"/>
      <c r="FW1966" s="56"/>
      <c r="FX1966" s="56"/>
      <c r="FY1966" s="56"/>
      <c r="FZ1966" s="56"/>
      <c r="GA1966" s="56"/>
      <c r="GB1966" s="56"/>
      <c r="GC1966" s="56"/>
      <c r="GD1966" s="56"/>
      <c r="GE1966" s="56"/>
      <c r="GF1966" s="56"/>
    </row>
    <row r="1967" spans="1:48" s="18" customFormat="1" ht="17.25" customHeight="1">
      <c r="A1967" s="50"/>
      <c r="B1967" s="93" t="s">
        <v>669</v>
      </c>
      <c r="C1967" s="16"/>
      <c r="D1967" s="52"/>
      <c r="E1967" s="52"/>
      <c r="F1967" s="52"/>
      <c r="G1967" s="52"/>
      <c r="H1967" s="52"/>
      <c r="I1967" s="52"/>
      <c r="J1967" s="52"/>
      <c r="K1967" s="52"/>
      <c r="L1967" s="60">
        <f>SUM(L1968:L1971)</f>
        <v>6</v>
      </c>
      <c r="M1967" s="60">
        <f>SUM(M1968:M1971)</f>
        <v>4</v>
      </c>
      <c r="N1967" s="60" t="s">
        <v>556</v>
      </c>
      <c r="O1967" s="60" t="s">
        <v>556</v>
      </c>
      <c r="P1967" s="60" t="s">
        <v>556</v>
      </c>
      <c r="Q1967" s="23"/>
      <c r="R1967" s="23"/>
      <c r="S1967" s="17"/>
      <c r="T1967" s="47"/>
      <c r="U1967" s="47"/>
      <c r="V1967" s="47"/>
      <c r="W1967" s="47"/>
      <c r="X1967" s="47"/>
      <c r="Y1967" s="47"/>
      <c r="Z1967" s="47"/>
      <c r="AA1967" s="47"/>
      <c r="AB1967" s="47"/>
      <c r="AC1967" s="47"/>
      <c r="AD1967" s="47"/>
      <c r="AE1967" s="47"/>
      <c r="AF1967" s="47"/>
      <c r="AG1967" s="47"/>
      <c r="AH1967" s="47"/>
      <c r="AI1967" s="47"/>
      <c r="AJ1967" s="47"/>
      <c r="AK1967" s="47"/>
      <c r="AL1967" s="47"/>
      <c r="AM1967" s="47"/>
      <c r="AN1967" s="47"/>
      <c r="AO1967" s="47"/>
      <c r="AP1967" s="47"/>
      <c r="AQ1967" s="47"/>
      <c r="AR1967" s="47"/>
      <c r="AS1967" s="47"/>
      <c r="AT1967" s="47"/>
      <c r="AU1967" s="47"/>
      <c r="AV1967" s="47"/>
    </row>
    <row r="1968" spans="1:48" s="27" customFormat="1" ht="17.25" customHeight="1">
      <c r="A1968" s="12"/>
      <c r="B1968" s="97" t="s">
        <v>1316</v>
      </c>
      <c r="C1968" s="29" t="s">
        <v>1317</v>
      </c>
      <c r="D1968" s="51"/>
      <c r="E1968" s="40"/>
      <c r="F1968" s="51"/>
      <c r="G1968" s="51"/>
      <c r="H1968" s="51"/>
      <c r="I1968" s="51"/>
      <c r="J1968" s="51"/>
      <c r="K1968" s="51"/>
      <c r="L1968" s="40">
        <v>1</v>
      </c>
      <c r="M1968" s="40" t="s">
        <v>556</v>
      </c>
      <c r="N1968" s="40" t="s">
        <v>556</v>
      </c>
      <c r="O1968" s="40" t="s">
        <v>556</v>
      </c>
      <c r="P1968" s="40" t="s">
        <v>556</v>
      </c>
      <c r="Q1968" s="30"/>
      <c r="R1968" s="30"/>
      <c r="S1968" s="30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</row>
    <row r="1969" spans="1:48" s="27" customFormat="1" ht="17.25" customHeight="1">
      <c r="A1969" s="12"/>
      <c r="B1969" s="105" t="s">
        <v>1318</v>
      </c>
      <c r="C1969" s="15">
        <v>15030121</v>
      </c>
      <c r="D1969" s="51"/>
      <c r="E1969" s="40"/>
      <c r="F1969" s="51"/>
      <c r="G1969" s="51"/>
      <c r="H1969" s="51"/>
      <c r="I1969" s="51"/>
      <c r="J1969" s="51"/>
      <c r="K1969" s="51"/>
      <c r="L1969" s="40">
        <v>2</v>
      </c>
      <c r="M1969" s="40">
        <v>2</v>
      </c>
      <c r="N1969" s="40" t="s">
        <v>556</v>
      </c>
      <c r="O1969" s="40" t="s">
        <v>556</v>
      </c>
      <c r="P1969" s="40" t="s">
        <v>556</v>
      </c>
      <c r="Q1969" s="30"/>
      <c r="R1969" s="30"/>
      <c r="S1969" s="30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</row>
    <row r="1970" spans="1:48" s="27" customFormat="1" ht="17.25" customHeight="1">
      <c r="A1970" s="12"/>
      <c r="B1970" s="97" t="s">
        <v>599</v>
      </c>
      <c r="C1970" s="15" t="s">
        <v>600</v>
      </c>
      <c r="D1970" s="51"/>
      <c r="E1970" s="40"/>
      <c r="F1970" s="51"/>
      <c r="G1970" s="51"/>
      <c r="H1970" s="51"/>
      <c r="I1970" s="51"/>
      <c r="J1970" s="51"/>
      <c r="K1970" s="51"/>
      <c r="L1970" s="40">
        <v>2</v>
      </c>
      <c r="M1970" s="40">
        <v>2</v>
      </c>
      <c r="N1970" s="40" t="s">
        <v>556</v>
      </c>
      <c r="O1970" s="40" t="s">
        <v>556</v>
      </c>
      <c r="P1970" s="40" t="s">
        <v>556</v>
      </c>
      <c r="Q1970" s="30"/>
      <c r="R1970" s="30"/>
      <c r="S1970" s="30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</row>
    <row r="1971" spans="1:48" s="27" customFormat="1" ht="17.25" customHeight="1">
      <c r="A1971" s="12"/>
      <c r="B1971" s="97" t="s">
        <v>453</v>
      </c>
      <c r="C1971" s="29" t="s">
        <v>454</v>
      </c>
      <c r="D1971" s="51"/>
      <c r="E1971" s="40"/>
      <c r="F1971" s="51"/>
      <c r="G1971" s="51"/>
      <c r="H1971" s="51"/>
      <c r="I1971" s="51"/>
      <c r="J1971" s="51"/>
      <c r="K1971" s="51"/>
      <c r="L1971" s="40">
        <v>1</v>
      </c>
      <c r="M1971" s="40" t="s">
        <v>556</v>
      </c>
      <c r="N1971" s="40" t="s">
        <v>556</v>
      </c>
      <c r="O1971" s="40" t="s">
        <v>556</v>
      </c>
      <c r="P1971" s="40" t="s">
        <v>556</v>
      </c>
      <c r="Q1971" s="30"/>
      <c r="R1971" s="30"/>
      <c r="S1971" s="30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</row>
    <row r="1972" spans="1:48" s="18" customFormat="1" ht="17.25" customHeight="1">
      <c r="A1972" s="50"/>
      <c r="B1972" s="93" t="s">
        <v>670</v>
      </c>
      <c r="C1972" s="16"/>
      <c r="D1972" s="52"/>
      <c r="E1972" s="52"/>
      <c r="F1972" s="52"/>
      <c r="G1972" s="52"/>
      <c r="H1972" s="52"/>
      <c r="I1972" s="52"/>
      <c r="J1972" s="52"/>
      <c r="K1972" s="52"/>
      <c r="L1972" s="60" t="str">
        <f>L1973</f>
        <v> -</v>
      </c>
      <c r="M1972" s="60" t="str">
        <f>M1973</f>
        <v> -</v>
      </c>
      <c r="N1972" s="60">
        <v>2</v>
      </c>
      <c r="O1972" s="60" t="str">
        <f>O1973</f>
        <v> -</v>
      </c>
      <c r="P1972" s="60" t="str">
        <f>P1973</f>
        <v> -</v>
      </c>
      <c r="Q1972" s="23"/>
      <c r="R1972" s="23"/>
      <c r="S1972" s="17"/>
      <c r="T1972" s="47"/>
      <c r="U1972" s="47"/>
      <c r="V1972" s="47"/>
      <c r="W1972" s="47"/>
      <c r="X1972" s="47"/>
      <c r="Y1972" s="47"/>
      <c r="Z1972" s="47"/>
      <c r="AA1972" s="47"/>
      <c r="AB1972" s="47"/>
      <c r="AC1972" s="47"/>
      <c r="AD1972" s="47"/>
      <c r="AE1972" s="47"/>
      <c r="AF1972" s="47"/>
      <c r="AG1972" s="47"/>
      <c r="AH1972" s="47"/>
      <c r="AI1972" s="47"/>
      <c r="AJ1972" s="47"/>
      <c r="AK1972" s="47"/>
      <c r="AL1972" s="47"/>
      <c r="AM1972" s="47"/>
      <c r="AN1972" s="47"/>
      <c r="AO1972" s="47"/>
      <c r="AP1972" s="47"/>
      <c r="AQ1972" s="47"/>
      <c r="AR1972" s="47"/>
      <c r="AS1972" s="47"/>
      <c r="AT1972" s="47"/>
      <c r="AU1972" s="47"/>
      <c r="AV1972" s="47"/>
    </row>
    <row r="1973" spans="1:48" s="27" customFormat="1" ht="17.25" customHeight="1">
      <c r="A1973" s="12"/>
      <c r="B1973" s="111" t="s">
        <v>422</v>
      </c>
      <c r="C1973" s="15" t="s">
        <v>423</v>
      </c>
      <c r="D1973" s="51"/>
      <c r="E1973" s="51"/>
      <c r="F1973" s="51"/>
      <c r="G1973" s="51"/>
      <c r="H1973" s="51"/>
      <c r="I1973" s="51"/>
      <c r="J1973" s="51"/>
      <c r="K1973" s="51"/>
      <c r="L1973" s="40" t="s">
        <v>556</v>
      </c>
      <c r="M1973" s="40" t="s">
        <v>556</v>
      </c>
      <c r="N1973" s="40">
        <v>2</v>
      </c>
      <c r="O1973" s="40" t="s">
        <v>556</v>
      </c>
      <c r="P1973" s="40" t="s">
        <v>556</v>
      </c>
      <c r="Q1973" s="30"/>
      <c r="R1973" s="30"/>
      <c r="S1973" s="30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</row>
    <row r="1974" spans="1:48" s="18" customFormat="1" ht="16.5" customHeight="1">
      <c r="A1974" s="50"/>
      <c r="B1974" s="93" t="s">
        <v>37</v>
      </c>
      <c r="C1974" s="16"/>
      <c r="D1974" s="52"/>
      <c r="E1974" s="52"/>
      <c r="F1974" s="52"/>
      <c r="G1974" s="52"/>
      <c r="H1974" s="52"/>
      <c r="I1974" s="52"/>
      <c r="J1974" s="52"/>
      <c r="K1974" s="52"/>
      <c r="L1974" s="60">
        <f>L1975</f>
        <v>1</v>
      </c>
      <c r="M1974" s="60">
        <v>1</v>
      </c>
      <c r="N1974" s="60" t="str">
        <f>N1975</f>
        <v> -</v>
      </c>
      <c r="O1974" s="60" t="str">
        <f>O1975</f>
        <v> -</v>
      </c>
      <c r="P1974" s="60" t="str">
        <f>P1975</f>
        <v> -</v>
      </c>
      <c r="Q1974" s="23"/>
      <c r="R1974" s="23"/>
      <c r="S1974" s="17"/>
      <c r="T1974" s="47"/>
      <c r="U1974" s="47"/>
      <c r="V1974" s="47"/>
      <c r="W1974" s="47"/>
      <c r="X1974" s="47"/>
      <c r="Y1974" s="47"/>
      <c r="Z1974" s="47"/>
      <c r="AA1974" s="47"/>
      <c r="AB1974" s="47"/>
      <c r="AC1974" s="47"/>
      <c r="AD1974" s="47"/>
      <c r="AE1974" s="47"/>
      <c r="AF1974" s="47"/>
      <c r="AG1974" s="47"/>
      <c r="AH1974" s="47"/>
      <c r="AI1974" s="47"/>
      <c r="AJ1974" s="47"/>
      <c r="AK1974" s="47"/>
      <c r="AL1974" s="47"/>
      <c r="AM1974" s="47"/>
      <c r="AN1974" s="47"/>
      <c r="AO1974" s="47"/>
      <c r="AP1974" s="47"/>
      <c r="AQ1974" s="47"/>
      <c r="AR1974" s="47"/>
      <c r="AS1974" s="47"/>
      <c r="AT1974" s="47"/>
      <c r="AU1974" s="47"/>
      <c r="AV1974" s="47"/>
    </row>
    <row r="1975" spans="1:48" s="27" customFormat="1" ht="15.75" customHeight="1">
      <c r="A1975" s="12"/>
      <c r="B1975" s="97" t="s">
        <v>637</v>
      </c>
      <c r="C1975" s="15" t="s">
        <v>638</v>
      </c>
      <c r="D1975" s="51"/>
      <c r="E1975" s="51"/>
      <c r="F1975" s="51"/>
      <c r="G1975" s="51">
        <v>7</v>
      </c>
      <c r="H1975" s="51">
        <v>7</v>
      </c>
      <c r="I1975" s="51">
        <v>8</v>
      </c>
      <c r="J1975" s="51"/>
      <c r="K1975" s="51">
        <v>8</v>
      </c>
      <c r="L1975" s="40">
        <v>1</v>
      </c>
      <c r="M1975" s="40" t="s">
        <v>556</v>
      </c>
      <c r="N1975" s="40" t="s">
        <v>556</v>
      </c>
      <c r="O1975" s="40" t="s">
        <v>556</v>
      </c>
      <c r="P1975" s="40" t="s">
        <v>556</v>
      </c>
      <c r="Q1975" s="33"/>
      <c r="R1975" s="28"/>
      <c r="S1975" s="2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</row>
    <row r="1976" spans="1:48" s="27" customFormat="1" ht="15.75" customHeight="1">
      <c r="A1976" s="12"/>
      <c r="B1976" s="97" t="s">
        <v>38</v>
      </c>
      <c r="C1976" s="66" t="s">
        <v>457</v>
      </c>
      <c r="D1976" s="51"/>
      <c r="E1976" s="51"/>
      <c r="F1976" s="51"/>
      <c r="G1976" s="51"/>
      <c r="H1976" s="51"/>
      <c r="I1976" s="51"/>
      <c r="J1976" s="51"/>
      <c r="K1976" s="51"/>
      <c r="L1976" s="40" t="s">
        <v>556</v>
      </c>
      <c r="M1976" s="40">
        <v>1</v>
      </c>
      <c r="N1976" s="40" t="s">
        <v>556</v>
      </c>
      <c r="O1976" s="40" t="s">
        <v>556</v>
      </c>
      <c r="P1976" s="40" t="s">
        <v>556</v>
      </c>
      <c r="Q1976" s="30"/>
      <c r="R1976" s="30"/>
      <c r="S1976" s="30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</row>
    <row r="1977" spans="1:19" ht="15" customHeight="1">
      <c r="A1977" s="399" t="s">
        <v>661</v>
      </c>
      <c r="B1977" s="399"/>
      <c r="C1977" s="399"/>
      <c r="D1977" s="399"/>
      <c r="E1977" s="399"/>
      <c r="F1977" s="399"/>
      <c r="G1977" s="399"/>
      <c r="H1977" s="399"/>
      <c r="I1977" s="399"/>
      <c r="J1977" s="399"/>
      <c r="K1977" s="399"/>
      <c r="L1977" s="399"/>
      <c r="M1977" s="399"/>
      <c r="N1977" s="399"/>
      <c r="O1977" s="399"/>
      <c r="P1977" s="399"/>
      <c r="Q1977" s="20"/>
      <c r="R1977" s="20"/>
      <c r="S1977" s="7"/>
    </row>
    <row r="1978" spans="1:19" ht="13.5" customHeight="1">
      <c r="A1978" s="400" t="s">
        <v>909</v>
      </c>
      <c r="B1978" s="400"/>
      <c r="C1978" s="400"/>
      <c r="D1978" s="400"/>
      <c r="E1978" s="400"/>
      <c r="F1978" s="400"/>
      <c r="G1978" s="400"/>
      <c r="H1978" s="400"/>
      <c r="I1978" s="400"/>
      <c r="J1978" s="400"/>
      <c r="K1978" s="400"/>
      <c r="L1978" s="400"/>
      <c r="M1978" s="400"/>
      <c r="N1978" s="400"/>
      <c r="O1978" s="400"/>
      <c r="P1978" s="400"/>
      <c r="Q1978" s="21"/>
      <c r="R1978" s="21"/>
      <c r="S1978" s="8"/>
    </row>
    <row r="1979" spans="1:188" s="57" customFormat="1" ht="18" customHeight="1">
      <c r="A1979" s="13">
        <v>30</v>
      </c>
      <c r="B1979" s="92" t="s">
        <v>307</v>
      </c>
      <c r="C1979" s="45"/>
      <c r="D1979" s="44">
        <v>25</v>
      </c>
      <c r="E1979" s="44"/>
      <c r="F1979" s="44"/>
      <c r="G1979" s="44"/>
      <c r="H1979" s="44"/>
      <c r="I1979" s="44"/>
      <c r="J1979" s="44"/>
      <c r="K1979" s="44"/>
      <c r="L1979" s="44">
        <f>SUM(L1980,L1982)</f>
        <v>7</v>
      </c>
      <c r="M1979" s="44">
        <f>SUM(M1980,M1982)</f>
        <v>7</v>
      </c>
      <c r="N1979" s="44">
        <f>SUM(N1980,N1982)</f>
        <v>7</v>
      </c>
      <c r="O1979" s="44">
        <f>SUM(O1980,O1982)</f>
        <v>7</v>
      </c>
      <c r="P1979" s="44">
        <f>SUM(P1980,P1982)</f>
        <v>7</v>
      </c>
      <c r="Q1979" s="54" t="s">
        <v>648</v>
      </c>
      <c r="R1979" s="54">
        <v>4</v>
      </c>
      <c r="S1979" s="55" t="s">
        <v>533</v>
      </c>
      <c r="T1979" s="56"/>
      <c r="U1979" s="56"/>
      <c r="V1979" s="56"/>
      <c r="W1979" s="56"/>
      <c r="X1979" s="56"/>
      <c r="Y1979" s="56"/>
      <c r="Z1979" s="56"/>
      <c r="AA1979" s="56"/>
      <c r="AB1979" s="56"/>
      <c r="AC1979" s="56"/>
      <c r="AD1979" s="56"/>
      <c r="AE1979" s="56"/>
      <c r="AF1979" s="56"/>
      <c r="AG1979" s="56"/>
      <c r="AH1979" s="56"/>
      <c r="AI1979" s="56"/>
      <c r="AJ1979" s="56"/>
      <c r="AK1979" s="56"/>
      <c r="AL1979" s="56"/>
      <c r="AM1979" s="56"/>
      <c r="AN1979" s="56"/>
      <c r="AO1979" s="56"/>
      <c r="AP1979" s="56"/>
      <c r="AQ1979" s="56"/>
      <c r="AR1979" s="56"/>
      <c r="AS1979" s="56"/>
      <c r="AT1979" s="56"/>
      <c r="AU1979" s="56"/>
      <c r="AV1979" s="56"/>
      <c r="AW1979" s="56"/>
      <c r="AX1979" s="56"/>
      <c r="AY1979" s="56"/>
      <c r="AZ1979" s="56"/>
      <c r="BA1979" s="56"/>
      <c r="BB1979" s="56"/>
      <c r="BC1979" s="56"/>
      <c r="BD1979" s="56"/>
      <c r="BE1979" s="56"/>
      <c r="BF1979" s="56"/>
      <c r="BG1979" s="56"/>
      <c r="BH1979" s="56"/>
      <c r="BI1979" s="56"/>
      <c r="BJ1979" s="56"/>
      <c r="BK1979" s="56"/>
      <c r="BL1979" s="56"/>
      <c r="BM1979" s="56"/>
      <c r="BN1979" s="56"/>
      <c r="BO1979" s="56"/>
      <c r="BP1979" s="56"/>
      <c r="BQ1979" s="56"/>
      <c r="BR1979" s="56"/>
      <c r="BS1979" s="56"/>
      <c r="BT1979" s="56"/>
      <c r="BU1979" s="56"/>
      <c r="BV1979" s="56"/>
      <c r="BW1979" s="56"/>
      <c r="BX1979" s="56"/>
      <c r="BY1979" s="56"/>
      <c r="BZ1979" s="56"/>
      <c r="CA1979" s="56"/>
      <c r="CB1979" s="56"/>
      <c r="CC1979" s="56"/>
      <c r="CD1979" s="56"/>
      <c r="CE1979" s="56"/>
      <c r="CF1979" s="56"/>
      <c r="CG1979" s="56"/>
      <c r="CH1979" s="56"/>
      <c r="CI1979" s="56"/>
      <c r="CJ1979" s="56"/>
      <c r="CK1979" s="56"/>
      <c r="CL1979" s="56"/>
      <c r="CM1979" s="56"/>
      <c r="CN1979" s="56"/>
      <c r="CO1979" s="56"/>
      <c r="CP1979" s="56"/>
      <c r="CQ1979" s="56"/>
      <c r="CR1979" s="56"/>
      <c r="CS1979" s="56"/>
      <c r="CT1979" s="56"/>
      <c r="CU1979" s="56"/>
      <c r="CV1979" s="56"/>
      <c r="CW1979" s="56"/>
      <c r="CX1979" s="56"/>
      <c r="CY1979" s="56"/>
      <c r="CZ1979" s="56"/>
      <c r="DA1979" s="56"/>
      <c r="DB1979" s="56"/>
      <c r="DC1979" s="56"/>
      <c r="DD1979" s="56"/>
      <c r="DE1979" s="56"/>
      <c r="DF1979" s="56"/>
      <c r="DG1979" s="56"/>
      <c r="DH1979" s="56"/>
      <c r="DI1979" s="56"/>
      <c r="DJ1979" s="56"/>
      <c r="DK1979" s="56"/>
      <c r="DL1979" s="56"/>
      <c r="DM1979" s="56"/>
      <c r="DN1979" s="56"/>
      <c r="DO1979" s="56"/>
      <c r="DP1979" s="56"/>
      <c r="DQ1979" s="56"/>
      <c r="DR1979" s="56"/>
      <c r="DS1979" s="56"/>
      <c r="DT1979" s="56"/>
      <c r="DU1979" s="56"/>
      <c r="DV1979" s="56"/>
      <c r="DW1979" s="56"/>
      <c r="DX1979" s="56"/>
      <c r="DY1979" s="56"/>
      <c r="DZ1979" s="56"/>
      <c r="EA1979" s="56"/>
      <c r="EB1979" s="56"/>
      <c r="EC1979" s="56"/>
      <c r="ED1979" s="56"/>
      <c r="EE1979" s="56"/>
      <c r="EF1979" s="56"/>
      <c r="EG1979" s="56"/>
      <c r="EH1979" s="56"/>
      <c r="EI1979" s="56"/>
      <c r="EJ1979" s="56"/>
      <c r="EK1979" s="56"/>
      <c r="EL1979" s="56"/>
      <c r="EM1979" s="56"/>
      <c r="EN1979" s="56"/>
      <c r="EO1979" s="56"/>
      <c r="EP1979" s="56"/>
      <c r="EQ1979" s="56"/>
      <c r="ER1979" s="56"/>
      <c r="ES1979" s="56"/>
      <c r="ET1979" s="56"/>
      <c r="EU1979" s="56"/>
      <c r="EV1979" s="56"/>
      <c r="EW1979" s="56"/>
      <c r="EX1979" s="56"/>
      <c r="EY1979" s="56"/>
      <c r="EZ1979" s="56"/>
      <c r="FA1979" s="56"/>
      <c r="FB1979" s="56"/>
      <c r="FC1979" s="56"/>
      <c r="FD1979" s="56"/>
      <c r="FE1979" s="56"/>
      <c r="FF1979" s="56"/>
      <c r="FG1979" s="56"/>
      <c r="FH1979" s="56"/>
      <c r="FI1979" s="56"/>
      <c r="FJ1979" s="56"/>
      <c r="FK1979" s="56"/>
      <c r="FL1979" s="56"/>
      <c r="FM1979" s="56"/>
      <c r="FN1979" s="56"/>
      <c r="FO1979" s="56"/>
      <c r="FP1979" s="56"/>
      <c r="FQ1979" s="56"/>
      <c r="FR1979" s="56"/>
      <c r="FS1979" s="56"/>
      <c r="FT1979" s="56"/>
      <c r="FU1979" s="56"/>
      <c r="FV1979" s="56"/>
      <c r="FW1979" s="56"/>
      <c r="FX1979" s="56"/>
      <c r="FY1979" s="56"/>
      <c r="FZ1979" s="56"/>
      <c r="GA1979" s="56"/>
      <c r="GB1979" s="56"/>
      <c r="GC1979" s="56"/>
      <c r="GD1979" s="56"/>
      <c r="GE1979" s="56"/>
      <c r="GF1979" s="56"/>
    </row>
    <row r="1980" spans="1:48" s="18" customFormat="1" ht="18" customHeight="1">
      <c r="A1980" s="50"/>
      <c r="B1980" s="93" t="s">
        <v>669</v>
      </c>
      <c r="C1980" s="16"/>
      <c r="D1980" s="52"/>
      <c r="E1980" s="52"/>
      <c r="F1980" s="52"/>
      <c r="G1980" s="52"/>
      <c r="H1980" s="52"/>
      <c r="I1980" s="52"/>
      <c r="J1980" s="52"/>
      <c r="K1980" s="52"/>
      <c r="L1980" s="60">
        <f>SUM(L1981:L1981)</f>
        <v>5</v>
      </c>
      <c r="M1980" s="60">
        <f>SUM(M1981:M1981)</f>
        <v>5</v>
      </c>
      <c r="N1980" s="60">
        <f>SUM(N1981:N1981)</f>
        <v>5</v>
      </c>
      <c r="O1980" s="60">
        <f>SUM(O1981:O1981)</f>
        <v>5</v>
      </c>
      <c r="P1980" s="60">
        <f>SUM(P1981:P1981)</f>
        <v>5</v>
      </c>
      <c r="Q1980" s="23"/>
      <c r="R1980" s="23"/>
      <c r="S1980" s="17"/>
      <c r="T1980" s="47"/>
      <c r="U1980" s="47"/>
      <c r="V1980" s="47"/>
      <c r="W1980" s="47"/>
      <c r="X1980" s="47"/>
      <c r="Y1980" s="47"/>
      <c r="Z1980" s="47"/>
      <c r="AA1980" s="47"/>
      <c r="AB1980" s="47"/>
      <c r="AC1980" s="47"/>
      <c r="AD1980" s="47"/>
      <c r="AE1980" s="47"/>
      <c r="AF1980" s="47"/>
      <c r="AG1980" s="47"/>
      <c r="AH1980" s="47"/>
      <c r="AI1980" s="47"/>
      <c r="AJ1980" s="47"/>
      <c r="AK1980" s="47"/>
      <c r="AL1980" s="47"/>
      <c r="AM1980" s="47"/>
      <c r="AN1980" s="47"/>
      <c r="AO1980" s="47"/>
      <c r="AP1980" s="47"/>
      <c r="AQ1980" s="47"/>
      <c r="AR1980" s="47"/>
      <c r="AS1980" s="47"/>
      <c r="AT1980" s="47"/>
      <c r="AU1980" s="47"/>
      <c r="AV1980" s="47"/>
    </row>
    <row r="1981" spans="1:48" s="27" customFormat="1" ht="18" customHeight="1">
      <c r="A1981" s="12"/>
      <c r="B1981" s="97" t="s">
        <v>564</v>
      </c>
      <c r="C1981" s="29" t="s">
        <v>565</v>
      </c>
      <c r="D1981" s="51"/>
      <c r="E1981" s="40"/>
      <c r="F1981" s="51"/>
      <c r="G1981" s="51"/>
      <c r="H1981" s="51"/>
      <c r="I1981" s="51"/>
      <c r="J1981" s="51"/>
      <c r="K1981" s="51"/>
      <c r="L1981" s="40">
        <v>5</v>
      </c>
      <c r="M1981" s="40">
        <v>5</v>
      </c>
      <c r="N1981" s="40">
        <v>5</v>
      </c>
      <c r="O1981" s="40">
        <v>5</v>
      </c>
      <c r="P1981" s="40">
        <v>5</v>
      </c>
      <c r="Q1981" s="30"/>
      <c r="R1981" s="30"/>
      <c r="S1981" s="30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</row>
    <row r="1982" spans="1:48" s="18" customFormat="1" ht="18" customHeight="1">
      <c r="A1982" s="50"/>
      <c r="B1982" s="93" t="s">
        <v>670</v>
      </c>
      <c r="C1982" s="16"/>
      <c r="D1982" s="52"/>
      <c r="E1982" s="52"/>
      <c r="F1982" s="52"/>
      <c r="G1982" s="52"/>
      <c r="H1982" s="52"/>
      <c r="I1982" s="52"/>
      <c r="J1982" s="52"/>
      <c r="K1982" s="52"/>
      <c r="L1982" s="60">
        <v>2</v>
      </c>
      <c r="M1982" s="60">
        <v>2</v>
      </c>
      <c r="N1982" s="60">
        <v>2</v>
      </c>
      <c r="O1982" s="60">
        <v>2</v>
      </c>
      <c r="P1982" s="60">
        <v>2</v>
      </c>
      <c r="Q1982" s="23"/>
      <c r="R1982" s="23"/>
      <c r="S1982" s="17"/>
      <c r="T1982" s="47"/>
      <c r="U1982" s="47"/>
      <c r="V1982" s="47"/>
      <c r="W1982" s="47"/>
      <c r="X1982" s="47"/>
      <c r="Y1982" s="47"/>
      <c r="Z1982" s="47"/>
      <c r="AA1982" s="47"/>
      <c r="AB1982" s="47"/>
      <c r="AC1982" s="47"/>
      <c r="AD1982" s="47"/>
      <c r="AE1982" s="47"/>
      <c r="AF1982" s="47"/>
      <c r="AG1982" s="47"/>
      <c r="AH1982" s="47"/>
      <c r="AI1982" s="47"/>
      <c r="AJ1982" s="47"/>
      <c r="AK1982" s="47"/>
      <c r="AL1982" s="47"/>
      <c r="AM1982" s="47"/>
      <c r="AN1982" s="47"/>
      <c r="AO1982" s="47"/>
      <c r="AP1982" s="47"/>
      <c r="AQ1982" s="47"/>
      <c r="AR1982" s="47"/>
      <c r="AS1982" s="47"/>
      <c r="AT1982" s="47"/>
      <c r="AU1982" s="47"/>
      <c r="AV1982" s="47"/>
    </row>
    <row r="1983" spans="1:48" s="27" customFormat="1" ht="18" customHeight="1">
      <c r="A1983" s="12"/>
      <c r="B1983" s="105" t="s">
        <v>133</v>
      </c>
      <c r="C1983" s="15" t="s">
        <v>134</v>
      </c>
      <c r="D1983" s="51"/>
      <c r="E1983" s="51"/>
      <c r="F1983" s="51"/>
      <c r="G1983" s="51"/>
      <c r="H1983" s="51"/>
      <c r="I1983" s="51"/>
      <c r="J1983" s="51"/>
      <c r="K1983" s="51"/>
      <c r="L1983" s="40">
        <v>1</v>
      </c>
      <c r="M1983" s="40">
        <v>1</v>
      </c>
      <c r="N1983" s="40">
        <v>1</v>
      </c>
      <c r="O1983" s="40">
        <v>1</v>
      </c>
      <c r="P1983" s="40">
        <v>1</v>
      </c>
      <c r="Q1983" s="30"/>
      <c r="R1983" s="30"/>
      <c r="S1983" s="30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</row>
    <row r="1984" spans="1:48" s="27" customFormat="1" ht="18" customHeight="1">
      <c r="A1984" s="12"/>
      <c r="B1984" s="97" t="s">
        <v>303</v>
      </c>
      <c r="C1984" s="15" t="s">
        <v>304</v>
      </c>
      <c r="D1984" s="51"/>
      <c r="E1984" s="51"/>
      <c r="F1984" s="51"/>
      <c r="G1984" s="51"/>
      <c r="H1984" s="51"/>
      <c r="I1984" s="51"/>
      <c r="J1984" s="51"/>
      <c r="K1984" s="51"/>
      <c r="L1984" s="40">
        <v>1</v>
      </c>
      <c r="M1984" s="40">
        <v>1</v>
      </c>
      <c r="N1984" s="40">
        <v>1</v>
      </c>
      <c r="O1984" s="40">
        <v>1</v>
      </c>
      <c r="P1984" s="40">
        <v>1</v>
      </c>
      <c r="Q1984" s="30"/>
      <c r="R1984" s="30"/>
      <c r="S1984" s="30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</row>
    <row r="1985" spans="1:19" ht="15" customHeight="1">
      <c r="A1985" s="399" t="s">
        <v>658</v>
      </c>
      <c r="B1985" s="399"/>
      <c r="C1985" s="399"/>
      <c r="D1985" s="399"/>
      <c r="E1985" s="399"/>
      <c r="F1985" s="399"/>
      <c r="G1985" s="399"/>
      <c r="H1985" s="399"/>
      <c r="I1985" s="399"/>
      <c r="J1985" s="399"/>
      <c r="K1985" s="399"/>
      <c r="L1985" s="399"/>
      <c r="M1985" s="399"/>
      <c r="N1985" s="399"/>
      <c r="O1985" s="399"/>
      <c r="P1985" s="399"/>
      <c r="Q1985" s="98"/>
      <c r="R1985" s="98"/>
      <c r="S1985" s="7"/>
    </row>
    <row r="1986" spans="1:19" ht="13.5" customHeight="1">
      <c r="A1986" s="333" t="s">
        <v>909</v>
      </c>
      <c r="B1986" s="333"/>
      <c r="C1986" s="333"/>
      <c r="D1986" s="333"/>
      <c r="E1986" s="333"/>
      <c r="F1986" s="333"/>
      <c r="G1986" s="333"/>
      <c r="H1986" s="333"/>
      <c r="I1986" s="333"/>
      <c r="J1986" s="333"/>
      <c r="K1986" s="333"/>
      <c r="L1986" s="333"/>
      <c r="M1986" s="333"/>
      <c r="N1986" s="333"/>
      <c r="O1986" s="333"/>
      <c r="P1986" s="333"/>
      <c r="Q1986" s="21"/>
      <c r="R1986" s="21"/>
      <c r="S1986" s="8"/>
    </row>
    <row r="1987" spans="1:188" s="57" customFormat="1" ht="15.75" customHeight="1">
      <c r="A1987" s="13">
        <v>31</v>
      </c>
      <c r="B1987" s="92" t="s">
        <v>1361</v>
      </c>
      <c r="C1987" s="45"/>
      <c r="D1987" s="44">
        <v>42</v>
      </c>
      <c r="E1987" s="44">
        <v>8</v>
      </c>
      <c r="F1987" s="44">
        <v>35</v>
      </c>
      <c r="G1987" s="44">
        <v>42</v>
      </c>
      <c r="H1987" s="44">
        <v>42</v>
      </c>
      <c r="I1987" s="44">
        <v>42</v>
      </c>
      <c r="J1987" s="44">
        <v>42</v>
      </c>
      <c r="K1987" s="44">
        <v>42</v>
      </c>
      <c r="L1987" s="44">
        <f>SUM(L1988,L1991,L1993)</f>
        <v>2</v>
      </c>
      <c r="M1987" s="44">
        <f>SUM(M1988,M1991,M1993)</f>
        <v>2</v>
      </c>
      <c r="N1987" s="44">
        <f>SUM(N1988,N1991,N1993)</f>
        <v>1</v>
      </c>
      <c r="O1987" s="44" t="s">
        <v>556</v>
      </c>
      <c r="P1987" s="44">
        <f>SUM(P1988,P1991,P1993)</f>
        <v>1</v>
      </c>
      <c r="Q1987" s="54" t="s">
        <v>649</v>
      </c>
      <c r="R1987" s="54">
        <v>8</v>
      </c>
      <c r="S1987" s="55" t="s">
        <v>536</v>
      </c>
      <c r="T1987" s="56"/>
      <c r="U1987" s="56"/>
      <c r="V1987" s="56"/>
      <c r="W1987" s="56"/>
      <c r="X1987" s="56"/>
      <c r="Y1987" s="56"/>
      <c r="Z1987" s="56"/>
      <c r="AA1987" s="56"/>
      <c r="AB1987" s="56"/>
      <c r="AC1987" s="56"/>
      <c r="AD1987" s="56"/>
      <c r="AE1987" s="56"/>
      <c r="AF1987" s="56"/>
      <c r="AG1987" s="56"/>
      <c r="AH1987" s="56"/>
      <c r="AI1987" s="56"/>
      <c r="AJ1987" s="56"/>
      <c r="AK1987" s="56"/>
      <c r="AL1987" s="56"/>
      <c r="AM1987" s="56"/>
      <c r="AN1987" s="56"/>
      <c r="AO1987" s="56"/>
      <c r="AP1987" s="56"/>
      <c r="AQ1987" s="56"/>
      <c r="AR1987" s="56"/>
      <c r="AS1987" s="56"/>
      <c r="AT1987" s="56"/>
      <c r="AU1987" s="56"/>
      <c r="AV1987" s="56"/>
      <c r="AW1987" s="56"/>
      <c r="AX1987" s="56"/>
      <c r="AY1987" s="56"/>
      <c r="AZ1987" s="56"/>
      <c r="BA1987" s="56"/>
      <c r="BB1987" s="56"/>
      <c r="BC1987" s="56"/>
      <c r="BD1987" s="56"/>
      <c r="BE1987" s="56"/>
      <c r="BF1987" s="56"/>
      <c r="BG1987" s="56"/>
      <c r="BH1987" s="56"/>
      <c r="BI1987" s="56"/>
      <c r="BJ1987" s="56"/>
      <c r="BK1987" s="56"/>
      <c r="BL1987" s="56"/>
      <c r="BM1987" s="56"/>
      <c r="BN1987" s="56"/>
      <c r="BO1987" s="56"/>
      <c r="BP1987" s="56"/>
      <c r="BQ1987" s="56"/>
      <c r="BR1987" s="56"/>
      <c r="BS1987" s="56"/>
      <c r="BT1987" s="56"/>
      <c r="BU1987" s="56"/>
      <c r="BV1987" s="56"/>
      <c r="BW1987" s="56"/>
      <c r="BX1987" s="56"/>
      <c r="BY1987" s="56"/>
      <c r="BZ1987" s="56"/>
      <c r="CA1987" s="56"/>
      <c r="CB1987" s="56"/>
      <c r="CC1987" s="56"/>
      <c r="CD1987" s="56"/>
      <c r="CE1987" s="56"/>
      <c r="CF1987" s="56"/>
      <c r="CG1987" s="56"/>
      <c r="CH1987" s="56"/>
      <c r="CI1987" s="56"/>
      <c r="CJ1987" s="56"/>
      <c r="CK1987" s="56"/>
      <c r="CL1987" s="56"/>
      <c r="CM1987" s="56"/>
      <c r="CN1987" s="56"/>
      <c r="CO1987" s="56"/>
      <c r="CP1987" s="56"/>
      <c r="CQ1987" s="56"/>
      <c r="CR1987" s="56"/>
      <c r="CS1987" s="56"/>
      <c r="CT1987" s="56"/>
      <c r="CU1987" s="56"/>
      <c r="CV1987" s="56"/>
      <c r="CW1987" s="56"/>
      <c r="CX1987" s="56"/>
      <c r="CY1987" s="56"/>
      <c r="CZ1987" s="56"/>
      <c r="DA1987" s="56"/>
      <c r="DB1987" s="56"/>
      <c r="DC1987" s="56"/>
      <c r="DD1987" s="56"/>
      <c r="DE1987" s="56"/>
      <c r="DF1987" s="56"/>
      <c r="DG1987" s="56"/>
      <c r="DH1987" s="56"/>
      <c r="DI1987" s="56"/>
      <c r="DJ1987" s="56"/>
      <c r="DK1987" s="56"/>
      <c r="DL1987" s="56"/>
      <c r="DM1987" s="56"/>
      <c r="DN1987" s="56"/>
      <c r="DO1987" s="56"/>
      <c r="DP1987" s="56"/>
      <c r="DQ1987" s="56"/>
      <c r="DR1987" s="56"/>
      <c r="DS1987" s="56"/>
      <c r="DT1987" s="56"/>
      <c r="DU1987" s="56"/>
      <c r="DV1987" s="56"/>
      <c r="DW1987" s="56"/>
      <c r="DX1987" s="56"/>
      <c r="DY1987" s="56"/>
      <c r="DZ1987" s="56"/>
      <c r="EA1987" s="56"/>
      <c r="EB1987" s="56"/>
      <c r="EC1987" s="56"/>
      <c r="ED1987" s="56"/>
      <c r="EE1987" s="56"/>
      <c r="EF1987" s="56"/>
      <c r="EG1987" s="56"/>
      <c r="EH1987" s="56"/>
      <c r="EI1987" s="56"/>
      <c r="EJ1987" s="56"/>
      <c r="EK1987" s="56"/>
      <c r="EL1987" s="56"/>
      <c r="EM1987" s="56"/>
      <c r="EN1987" s="56"/>
      <c r="EO1987" s="56"/>
      <c r="EP1987" s="56"/>
      <c r="EQ1987" s="56"/>
      <c r="ER1987" s="56"/>
      <c r="ES1987" s="56"/>
      <c r="ET1987" s="56"/>
      <c r="EU1987" s="56"/>
      <c r="EV1987" s="56"/>
      <c r="EW1987" s="56"/>
      <c r="EX1987" s="56"/>
      <c r="EY1987" s="56"/>
      <c r="EZ1987" s="56"/>
      <c r="FA1987" s="56"/>
      <c r="FB1987" s="56"/>
      <c r="FC1987" s="56"/>
      <c r="FD1987" s="56"/>
      <c r="FE1987" s="56"/>
      <c r="FF1987" s="56"/>
      <c r="FG1987" s="56"/>
      <c r="FH1987" s="56"/>
      <c r="FI1987" s="56"/>
      <c r="FJ1987" s="56"/>
      <c r="FK1987" s="56"/>
      <c r="FL1987" s="56"/>
      <c r="FM1987" s="56"/>
      <c r="FN1987" s="56"/>
      <c r="FO1987" s="56"/>
      <c r="FP1987" s="56"/>
      <c r="FQ1987" s="56"/>
      <c r="FR1987" s="56"/>
      <c r="FS1987" s="56"/>
      <c r="FT1987" s="56"/>
      <c r="FU1987" s="56"/>
      <c r="FV1987" s="56"/>
      <c r="FW1987" s="56"/>
      <c r="FX1987" s="56"/>
      <c r="FY1987" s="56"/>
      <c r="FZ1987" s="56"/>
      <c r="GA1987" s="56"/>
      <c r="GB1987" s="56"/>
      <c r="GC1987" s="56"/>
      <c r="GD1987" s="56"/>
      <c r="GE1987" s="56"/>
      <c r="GF1987" s="56"/>
    </row>
    <row r="1988" spans="1:19" s="47" customFormat="1" ht="15.75" customHeight="1">
      <c r="A1988" s="50"/>
      <c r="B1988" s="93" t="s">
        <v>669</v>
      </c>
      <c r="C1988" s="94"/>
      <c r="D1988" s="60"/>
      <c r="E1988" s="60"/>
      <c r="F1988" s="60"/>
      <c r="G1988" s="60"/>
      <c r="H1988" s="60"/>
      <c r="I1988" s="60"/>
      <c r="J1988" s="60"/>
      <c r="K1988" s="60"/>
      <c r="L1988" s="60">
        <v>1</v>
      </c>
      <c r="M1988" s="60">
        <v>1</v>
      </c>
      <c r="N1988" s="60" t="s">
        <v>556</v>
      </c>
      <c r="O1988" s="60" t="s">
        <v>556</v>
      </c>
      <c r="P1988" s="60" t="s">
        <v>556</v>
      </c>
      <c r="Q1988" s="95"/>
      <c r="R1988" s="95"/>
      <c r="S1988" s="96"/>
    </row>
    <row r="1989" spans="1:19" s="48" customFormat="1" ht="15.75" customHeight="1">
      <c r="A1989" s="12"/>
      <c r="B1989" s="97" t="s">
        <v>560</v>
      </c>
      <c r="C1989" s="15" t="s">
        <v>1319</v>
      </c>
      <c r="D1989" s="40"/>
      <c r="E1989" s="40"/>
      <c r="F1989" s="40">
        <v>195</v>
      </c>
      <c r="G1989" s="40">
        <v>5</v>
      </c>
      <c r="H1989" s="40">
        <v>5</v>
      </c>
      <c r="I1989" s="40">
        <v>5</v>
      </c>
      <c r="J1989" s="40">
        <v>5</v>
      </c>
      <c r="K1989" s="40">
        <v>5</v>
      </c>
      <c r="L1989" s="40" t="s">
        <v>556</v>
      </c>
      <c r="M1989" s="40">
        <v>1</v>
      </c>
      <c r="N1989" s="40" t="s">
        <v>556</v>
      </c>
      <c r="O1989" s="40" t="s">
        <v>556</v>
      </c>
      <c r="P1989" s="40" t="s">
        <v>556</v>
      </c>
      <c r="Q1989" s="22"/>
      <c r="R1989" s="12"/>
      <c r="S1989" s="12"/>
    </row>
    <row r="1990" spans="1:19" s="48" customFormat="1" ht="15.75" customHeight="1">
      <c r="A1990" s="12"/>
      <c r="B1990" s="97" t="s">
        <v>448</v>
      </c>
      <c r="C1990" s="29" t="s">
        <v>449</v>
      </c>
      <c r="D1990" s="40"/>
      <c r="E1990" s="40"/>
      <c r="F1990" s="40" t="s">
        <v>556</v>
      </c>
      <c r="G1990" s="40">
        <v>6</v>
      </c>
      <c r="H1990" s="40">
        <v>6</v>
      </c>
      <c r="I1990" s="40">
        <v>6</v>
      </c>
      <c r="J1990" s="40">
        <v>6</v>
      </c>
      <c r="K1990" s="40">
        <v>6</v>
      </c>
      <c r="L1990" s="40">
        <v>1</v>
      </c>
      <c r="M1990" s="40" t="s">
        <v>556</v>
      </c>
      <c r="N1990" s="40" t="s">
        <v>556</v>
      </c>
      <c r="O1990" s="40" t="s">
        <v>556</v>
      </c>
      <c r="P1990" s="40" t="s">
        <v>556</v>
      </c>
      <c r="Q1990" s="22"/>
      <c r="R1990" s="12"/>
      <c r="S1990" s="12"/>
    </row>
    <row r="1991" spans="1:19" s="47" customFormat="1" ht="15.75" customHeight="1">
      <c r="A1991" s="50"/>
      <c r="B1991" s="93" t="s">
        <v>670</v>
      </c>
      <c r="C1991" s="94"/>
      <c r="D1991" s="60"/>
      <c r="E1991" s="60"/>
      <c r="F1991" s="60"/>
      <c r="G1991" s="60"/>
      <c r="H1991" s="60"/>
      <c r="I1991" s="60"/>
      <c r="J1991" s="60"/>
      <c r="K1991" s="60"/>
      <c r="L1991" s="60" t="str">
        <f>L1992</f>
        <v> -</v>
      </c>
      <c r="M1991" s="60" t="str">
        <f>M1992</f>
        <v> -</v>
      </c>
      <c r="N1991" s="60">
        <v>1</v>
      </c>
      <c r="O1991" s="60" t="str">
        <f>O1992</f>
        <v> -</v>
      </c>
      <c r="P1991" s="60" t="str">
        <f>P1992</f>
        <v> -</v>
      </c>
      <c r="Q1991" s="95"/>
      <c r="R1991" s="95"/>
      <c r="S1991" s="96"/>
    </row>
    <row r="1992" spans="1:19" s="48" customFormat="1" ht="15.75" customHeight="1">
      <c r="A1992" s="12"/>
      <c r="B1992" s="97" t="s">
        <v>561</v>
      </c>
      <c r="C1992" s="66" t="s">
        <v>804</v>
      </c>
      <c r="D1992" s="40"/>
      <c r="E1992" s="40"/>
      <c r="F1992" s="40" t="s">
        <v>556</v>
      </c>
      <c r="G1992" s="40">
        <v>1</v>
      </c>
      <c r="H1992" s="40">
        <v>1</v>
      </c>
      <c r="I1992" s="40">
        <v>1</v>
      </c>
      <c r="J1992" s="40">
        <v>1</v>
      </c>
      <c r="K1992" s="40">
        <v>1</v>
      </c>
      <c r="L1992" s="40" t="s">
        <v>556</v>
      </c>
      <c r="M1992" s="40" t="s">
        <v>556</v>
      </c>
      <c r="N1992" s="40">
        <v>1</v>
      </c>
      <c r="O1992" s="40" t="s">
        <v>556</v>
      </c>
      <c r="P1992" s="40" t="s">
        <v>556</v>
      </c>
      <c r="Q1992" s="22"/>
      <c r="R1992" s="12"/>
      <c r="S1992" s="12"/>
    </row>
    <row r="1993" spans="1:19" s="47" customFormat="1" ht="15.75" customHeight="1">
      <c r="A1993" s="50"/>
      <c r="B1993" s="93" t="s">
        <v>37</v>
      </c>
      <c r="C1993" s="94"/>
      <c r="D1993" s="60"/>
      <c r="E1993" s="60"/>
      <c r="F1993" s="60"/>
      <c r="G1993" s="60"/>
      <c r="H1993" s="60"/>
      <c r="I1993" s="60"/>
      <c r="J1993" s="60"/>
      <c r="K1993" s="60"/>
      <c r="L1993" s="60">
        <f>SUM(L1994:L1996)</f>
        <v>1</v>
      </c>
      <c r="M1993" s="60">
        <f>SUM(M1994:M1996)</f>
        <v>1</v>
      </c>
      <c r="N1993" s="60" t="s">
        <v>556</v>
      </c>
      <c r="O1993" s="60" t="s">
        <v>556</v>
      </c>
      <c r="P1993" s="60">
        <f>SUM(P1994:P1996)</f>
        <v>1</v>
      </c>
      <c r="Q1993" s="95"/>
      <c r="R1993" s="95"/>
      <c r="S1993" s="96"/>
    </row>
    <row r="1994" spans="1:19" s="48" customFormat="1" ht="15.75" customHeight="1">
      <c r="A1994" s="12"/>
      <c r="B1994" s="106" t="s">
        <v>1045</v>
      </c>
      <c r="C1994" s="66" t="s">
        <v>1046</v>
      </c>
      <c r="D1994" s="40"/>
      <c r="E1994" s="40"/>
      <c r="F1994" s="40">
        <v>16</v>
      </c>
      <c r="G1994" s="40">
        <v>1</v>
      </c>
      <c r="H1994" s="40">
        <v>1</v>
      </c>
      <c r="I1994" s="40">
        <v>1</v>
      </c>
      <c r="J1994" s="40">
        <v>1</v>
      </c>
      <c r="K1994" s="40">
        <v>1</v>
      </c>
      <c r="L1994" s="40" t="s">
        <v>556</v>
      </c>
      <c r="M1994" s="40">
        <v>1</v>
      </c>
      <c r="N1994" s="40" t="s">
        <v>556</v>
      </c>
      <c r="O1994" s="40" t="s">
        <v>556</v>
      </c>
      <c r="P1994" s="40" t="s">
        <v>556</v>
      </c>
      <c r="Q1994" s="68"/>
      <c r="R1994" s="68"/>
      <c r="S1994" s="68"/>
    </row>
    <row r="1995" spans="1:19" s="48" customFormat="1" ht="15.75" customHeight="1">
      <c r="A1995" s="12"/>
      <c r="B1995" s="107" t="s">
        <v>932</v>
      </c>
      <c r="C1995" s="15" t="s">
        <v>933</v>
      </c>
      <c r="D1995" s="40"/>
      <c r="E1995" s="40"/>
      <c r="F1995" s="40"/>
      <c r="G1995" s="40">
        <v>1</v>
      </c>
      <c r="H1995" s="40">
        <v>1</v>
      </c>
      <c r="I1995" s="40">
        <v>1</v>
      </c>
      <c r="J1995" s="40">
        <v>1</v>
      </c>
      <c r="K1995" s="40">
        <v>1</v>
      </c>
      <c r="L1995" s="40">
        <v>1</v>
      </c>
      <c r="M1995" s="40" t="s">
        <v>556</v>
      </c>
      <c r="N1995" s="40" t="s">
        <v>556</v>
      </c>
      <c r="O1995" s="40" t="s">
        <v>556</v>
      </c>
      <c r="P1995" s="40" t="s">
        <v>556</v>
      </c>
      <c r="Q1995" s="68"/>
      <c r="R1995" s="68"/>
      <c r="S1995" s="68"/>
    </row>
    <row r="1996" spans="1:19" s="48" customFormat="1" ht="15.75" customHeight="1">
      <c r="A1996" s="12"/>
      <c r="B1996" s="97" t="s">
        <v>38</v>
      </c>
      <c r="C1996" s="66" t="s">
        <v>457</v>
      </c>
      <c r="D1996" s="40"/>
      <c r="E1996" s="40"/>
      <c r="F1996" s="40"/>
      <c r="G1996" s="40">
        <v>1</v>
      </c>
      <c r="H1996" s="40">
        <v>1</v>
      </c>
      <c r="I1996" s="40">
        <v>1</v>
      </c>
      <c r="J1996" s="40">
        <v>1</v>
      </c>
      <c r="K1996" s="40">
        <v>1</v>
      </c>
      <c r="L1996" s="40" t="s">
        <v>556</v>
      </c>
      <c r="M1996" s="40" t="s">
        <v>556</v>
      </c>
      <c r="N1996" s="40" t="s">
        <v>556</v>
      </c>
      <c r="O1996" s="40" t="s">
        <v>556</v>
      </c>
      <c r="P1996" s="40">
        <v>1</v>
      </c>
      <c r="Q1996" s="68"/>
      <c r="R1996" s="68"/>
      <c r="S1996" s="68"/>
    </row>
    <row r="1997" spans="1:19" ht="15" customHeight="1">
      <c r="A1997" s="399" t="s">
        <v>657</v>
      </c>
      <c r="B1997" s="399"/>
      <c r="C1997" s="399"/>
      <c r="D1997" s="399"/>
      <c r="E1997" s="399"/>
      <c r="F1997" s="399"/>
      <c r="G1997" s="399"/>
      <c r="H1997" s="399"/>
      <c r="I1997" s="399"/>
      <c r="J1997" s="399"/>
      <c r="K1997" s="399"/>
      <c r="L1997" s="399"/>
      <c r="M1997" s="399"/>
      <c r="N1997" s="399"/>
      <c r="O1997" s="399"/>
      <c r="P1997" s="399"/>
      <c r="Q1997" s="20"/>
      <c r="R1997" s="20"/>
      <c r="S1997" s="7"/>
    </row>
    <row r="1998" spans="1:19" ht="13.5" customHeight="1">
      <c r="A1998" s="400" t="s">
        <v>676</v>
      </c>
      <c r="B1998" s="400"/>
      <c r="C1998" s="400"/>
      <c r="D1998" s="400"/>
      <c r="E1998" s="400"/>
      <c r="F1998" s="400"/>
      <c r="G1998" s="400"/>
      <c r="H1998" s="400"/>
      <c r="I1998" s="400"/>
      <c r="J1998" s="400"/>
      <c r="K1998" s="400"/>
      <c r="L1998" s="400"/>
      <c r="M1998" s="400"/>
      <c r="N1998" s="400"/>
      <c r="O1998" s="400"/>
      <c r="P1998" s="400"/>
      <c r="Q1998" s="21"/>
      <c r="R1998" s="21"/>
      <c r="S1998" s="8"/>
    </row>
    <row r="1999" spans="1:188" s="57" customFormat="1" ht="18" customHeight="1">
      <c r="A1999" s="13">
        <v>32</v>
      </c>
      <c r="B1999" s="92" t="s">
        <v>309</v>
      </c>
      <c r="C1999" s="45"/>
      <c r="D1999" s="44">
        <v>183</v>
      </c>
      <c r="E1999" s="44">
        <v>37</v>
      </c>
      <c r="F1999" s="44"/>
      <c r="G1999" s="44">
        <v>220</v>
      </c>
      <c r="H1999" s="44">
        <v>220</v>
      </c>
      <c r="I1999" s="44">
        <v>220</v>
      </c>
      <c r="J1999" s="44"/>
      <c r="K1999" s="44">
        <v>220</v>
      </c>
      <c r="L1999" s="44">
        <f>SUM(L2000,L2003)</f>
        <v>7</v>
      </c>
      <c r="M1999" s="44">
        <f>SUM(M2000,M2003)</f>
        <v>6</v>
      </c>
      <c r="N1999" s="44">
        <f>SUM(N2000,N2003)</f>
        <v>6</v>
      </c>
      <c r="O1999" s="44">
        <f>SUM(O2000,O2003)</f>
        <v>5</v>
      </c>
      <c r="P1999" s="44">
        <f>SUM(P2000,P2003)</f>
        <v>6</v>
      </c>
      <c r="Q1999" s="54" t="s">
        <v>648</v>
      </c>
      <c r="R1999" s="54">
        <v>10</v>
      </c>
      <c r="S1999" s="55" t="s">
        <v>550</v>
      </c>
      <c r="T1999" s="56"/>
      <c r="U1999" s="56"/>
      <c r="V1999" s="56"/>
      <c r="W1999" s="56"/>
      <c r="X1999" s="56"/>
      <c r="Y1999" s="56"/>
      <c r="Z1999" s="56"/>
      <c r="AA1999" s="56"/>
      <c r="AB1999" s="56"/>
      <c r="AC1999" s="56"/>
      <c r="AD1999" s="56"/>
      <c r="AE1999" s="56"/>
      <c r="AF1999" s="56"/>
      <c r="AG1999" s="56"/>
      <c r="AH1999" s="56"/>
      <c r="AI1999" s="56"/>
      <c r="AJ1999" s="56"/>
      <c r="AK1999" s="56"/>
      <c r="AL1999" s="56"/>
      <c r="AM1999" s="56"/>
      <c r="AN1999" s="56"/>
      <c r="AO1999" s="56"/>
      <c r="AP1999" s="56"/>
      <c r="AQ1999" s="56"/>
      <c r="AR1999" s="56"/>
      <c r="AS1999" s="56"/>
      <c r="AT1999" s="56"/>
      <c r="AU1999" s="56"/>
      <c r="AV1999" s="56"/>
      <c r="AW1999" s="56"/>
      <c r="AX1999" s="56"/>
      <c r="AY1999" s="56"/>
      <c r="AZ1999" s="56"/>
      <c r="BA1999" s="56"/>
      <c r="BB1999" s="56"/>
      <c r="BC1999" s="56"/>
      <c r="BD1999" s="56"/>
      <c r="BE1999" s="56"/>
      <c r="BF1999" s="56"/>
      <c r="BG1999" s="56"/>
      <c r="BH1999" s="56"/>
      <c r="BI1999" s="56"/>
      <c r="BJ1999" s="56"/>
      <c r="BK1999" s="56"/>
      <c r="BL1999" s="56"/>
      <c r="BM1999" s="56"/>
      <c r="BN1999" s="56"/>
      <c r="BO1999" s="56"/>
      <c r="BP1999" s="56"/>
      <c r="BQ1999" s="56"/>
      <c r="BR1999" s="56"/>
      <c r="BS1999" s="56"/>
      <c r="BT1999" s="56"/>
      <c r="BU1999" s="56"/>
      <c r="BV1999" s="56"/>
      <c r="BW1999" s="56"/>
      <c r="BX1999" s="56"/>
      <c r="BY1999" s="56"/>
      <c r="BZ1999" s="56"/>
      <c r="CA1999" s="56"/>
      <c r="CB1999" s="56"/>
      <c r="CC1999" s="56"/>
      <c r="CD1999" s="56"/>
      <c r="CE1999" s="56"/>
      <c r="CF1999" s="56"/>
      <c r="CG1999" s="56"/>
      <c r="CH1999" s="56"/>
      <c r="CI1999" s="56"/>
      <c r="CJ1999" s="56"/>
      <c r="CK1999" s="56"/>
      <c r="CL1999" s="56"/>
      <c r="CM1999" s="56"/>
      <c r="CN1999" s="56"/>
      <c r="CO1999" s="56"/>
      <c r="CP1999" s="56"/>
      <c r="CQ1999" s="56"/>
      <c r="CR1999" s="56"/>
      <c r="CS1999" s="56"/>
      <c r="CT1999" s="56"/>
      <c r="CU1999" s="56"/>
      <c r="CV1999" s="56"/>
      <c r="CW1999" s="56"/>
      <c r="CX1999" s="56"/>
      <c r="CY1999" s="56"/>
      <c r="CZ1999" s="56"/>
      <c r="DA1999" s="56"/>
      <c r="DB1999" s="56"/>
      <c r="DC1999" s="56"/>
      <c r="DD1999" s="56"/>
      <c r="DE1999" s="56"/>
      <c r="DF1999" s="56"/>
      <c r="DG1999" s="56"/>
      <c r="DH1999" s="56"/>
      <c r="DI1999" s="56"/>
      <c r="DJ1999" s="56"/>
      <c r="DK1999" s="56"/>
      <c r="DL1999" s="56"/>
      <c r="DM1999" s="56"/>
      <c r="DN1999" s="56"/>
      <c r="DO1999" s="56"/>
      <c r="DP1999" s="56"/>
      <c r="DQ1999" s="56"/>
      <c r="DR1999" s="56"/>
      <c r="DS1999" s="56"/>
      <c r="DT1999" s="56"/>
      <c r="DU1999" s="56"/>
      <c r="DV1999" s="56"/>
      <c r="DW1999" s="56"/>
      <c r="DX1999" s="56"/>
      <c r="DY1999" s="56"/>
      <c r="DZ1999" s="56"/>
      <c r="EA1999" s="56"/>
      <c r="EB1999" s="56"/>
      <c r="EC1999" s="56"/>
      <c r="ED1999" s="56"/>
      <c r="EE1999" s="56"/>
      <c r="EF1999" s="56"/>
      <c r="EG1999" s="56"/>
      <c r="EH1999" s="56"/>
      <c r="EI1999" s="56"/>
      <c r="EJ1999" s="56"/>
      <c r="EK1999" s="56"/>
      <c r="EL1999" s="56"/>
      <c r="EM1999" s="56"/>
      <c r="EN1999" s="56"/>
      <c r="EO1999" s="56"/>
      <c r="EP1999" s="56"/>
      <c r="EQ1999" s="56"/>
      <c r="ER1999" s="56"/>
      <c r="ES1999" s="56"/>
      <c r="ET1999" s="56"/>
      <c r="EU1999" s="56"/>
      <c r="EV1999" s="56"/>
      <c r="EW1999" s="56"/>
      <c r="EX1999" s="56"/>
      <c r="EY1999" s="56"/>
      <c r="EZ1999" s="56"/>
      <c r="FA1999" s="56"/>
      <c r="FB1999" s="56"/>
      <c r="FC1999" s="56"/>
      <c r="FD1999" s="56"/>
      <c r="FE1999" s="56"/>
      <c r="FF1999" s="56"/>
      <c r="FG1999" s="56"/>
      <c r="FH1999" s="56"/>
      <c r="FI1999" s="56"/>
      <c r="FJ1999" s="56"/>
      <c r="FK1999" s="56"/>
      <c r="FL1999" s="56"/>
      <c r="FM1999" s="56"/>
      <c r="FN1999" s="56"/>
      <c r="FO1999" s="56"/>
      <c r="FP1999" s="56"/>
      <c r="FQ1999" s="56"/>
      <c r="FR1999" s="56"/>
      <c r="FS1999" s="56"/>
      <c r="FT1999" s="56"/>
      <c r="FU1999" s="56"/>
      <c r="FV1999" s="56"/>
      <c r="FW1999" s="56"/>
      <c r="FX1999" s="56"/>
      <c r="FY1999" s="56"/>
      <c r="FZ1999" s="56"/>
      <c r="GA1999" s="56"/>
      <c r="GB1999" s="56"/>
      <c r="GC1999" s="56"/>
      <c r="GD1999" s="56"/>
      <c r="GE1999" s="56"/>
      <c r="GF1999" s="56"/>
    </row>
    <row r="2000" spans="1:48" s="18" customFormat="1" ht="16.5" customHeight="1">
      <c r="A2000" s="50"/>
      <c r="B2000" s="93" t="s">
        <v>669</v>
      </c>
      <c r="C2000" s="16"/>
      <c r="D2000" s="52"/>
      <c r="E2000" s="52"/>
      <c r="F2000" s="52"/>
      <c r="G2000" s="52"/>
      <c r="H2000" s="52"/>
      <c r="I2000" s="52"/>
      <c r="J2000" s="52"/>
      <c r="K2000" s="52"/>
      <c r="L2000" s="60">
        <f>SUM(L2001:L2002)</f>
        <v>7</v>
      </c>
      <c r="M2000" s="60">
        <f>SUM(M2001:M2002)</f>
        <v>6</v>
      </c>
      <c r="N2000" s="60">
        <f>SUM(N2001:N2002)</f>
        <v>5</v>
      </c>
      <c r="O2000" s="60">
        <f>SUM(O2001:O2002)</f>
        <v>5</v>
      </c>
      <c r="P2000" s="60">
        <f>SUM(P2001:P2002)</f>
        <v>5</v>
      </c>
      <c r="Q2000" s="23"/>
      <c r="R2000" s="23"/>
      <c r="S2000" s="17"/>
      <c r="T2000" s="47"/>
      <c r="U2000" s="47"/>
      <c r="V2000" s="47"/>
      <c r="W2000" s="47"/>
      <c r="X2000" s="47"/>
      <c r="Y2000" s="47"/>
      <c r="Z2000" s="47"/>
      <c r="AA2000" s="47"/>
      <c r="AB2000" s="47"/>
      <c r="AC2000" s="47"/>
      <c r="AD2000" s="47"/>
      <c r="AE2000" s="47"/>
      <c r="AF2000" s="47"/>
      <c r="AG2000" s="47"/>
      <c r="AH2000" s="47"/>
      <c r="AI2000" s="47"/>
      <c r="AJ2000" s="47"/>
      <c r="AK2000" s="47"/>
      <c r="AL2000" s="47"/>
      <c r="AM2000" s="47"/>
      <c r="AN2000" s="47"/>
      <c r="AO2000" s="47"/>
      <c r="AP2000" s="47"/>
      <c r="AQ2000" s="47"/>
      <c r="AR2000" s="47"/>
      <c r="AS2000" s="47"/>
      <c r="AT2000" s="47"/>
      <c r="AU2000" s="47"/>
      <c r="AV2000" s="47"/>
    </row>
    <row r="2001" spans="1:48" s="27" customFormat="1" ht="15.75" customHeight="1">
      <c r="A2001" s="12"/>
      <c r="B2001" s="97" t="s">
        <v>1318</v>
      </c>
      <c r="C2001" s="29" t="s">
        <v>598</v>
      </c>
      <c r="D2001" s="51"/>
      <c r="E2001" s="51"/>
      <c r="F2001" s="51"/>
      <c r="G2001" s="51"/>
      <c r="H2001" s="51"/>
      <c r="I2001" s="51"/>
      <c r="J2001" s="51"/>
      <c r="K2001" s="51"/>
      <c r="L2001" s="40">
        <v>4</v>
      </c>
      <c r="M2001" s="40">
        <v>4</v>
      </c>
      <c r="N2001" s="40">
        <v>4</v>
      </c>
      <c r="O2001" s="40">
        <v>4</v>
      </c>
      <c r="P2001" s="40">
        <v>4</v>
      </c>
      <c r="Q2001" s="33"/>
      <c r="R2001" s="28"/>
      <c r="S2001" s="2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</row>
    <row r="2002" spans="1:48" s="27" customFormat="1" ht="15.75" customHeight="1">
      <c r="A2002" s="12"/>
      <c r="B2002" s="97" t="s">
        <v>453</v>
      </c>
      <c r="C2002" s="15" t="s">
        <v>454</v>
      </c>
      <c r="D2002" s="51"/>
      <c r="E2002" s="51"/>
      <c r="F2002" s="51"/>
      <c r="G2002" s="51"/>
      <c r="H2002" s="51"/>
      <c r="I2002" s="51"/>
      <c r="J2002" s="51"/>
      <c r="K2002" s="51"/>
      <c r="L2002" s="40">
        <v>3</v>
      </c>
      <c r="M2002" s="40">
        <v>2</v>
      </c>
      <c r="N2002" s="40">
        <v>1</v>
      </c>
      <c r="O2002" s="40">
        <v>1</v>
      </c>
      <c r="P2002" s="40">
        <v>1</v>
      </c>
      <c r="Q2002" s="33"/>
      <c r="R2002" s="33"/>
      <c r="S2002" s="33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</row>
    <row r="2003" spans="1:48" s="18" customFormat="1" ht="16.5" customHeight="1">
      <c r="A2003" s="50"/>
      <c r="B2003" s="93" t="s">
        <v>37</v>
      </c>
      <c r="C2003" s="16"/>
      <c r="D2003" s="52"/>
      <c r="E2003" s="52"/>
      <c r="F2003" s="52"/>
      <c r="G2003" s="52"/>
      <c r="H2003" s="52"/>
      <c r="I2003" s="52"/>
      <c r="J2003" s="52"/>
      <c r="K2003" s="52"/>
      <c r="L2003" s="60" t="str">
        <f>L2004</f>
        <v> -</v>
      </c>
      <c r="M2003" s="60" t="str">
        <f>M2004</f>
        <v> -</v>
      </c>
      <c r="N2003" s="60">
        <f>N2004</f>
        <v>1</v>
      </c>
      <c r="O2003" s="60" t="str">
        <f>O2004</f>
        <v> -</v>
      </c>
      <c r="P2003" s="60">
        <f>P2004</f>
        <v>1</v>
      </c>
      <c r="Q2003" s="23"/>
      <c r="R2003" s="23"/>
      <c r="S2003" s="17"/>
      <c r="T2003" s="47"/>
      <c r="U2003" s="47"/>
      <c r="V2003" s="47"/>
      <c r="W2003" s="47"/>
      <c r="X2003" s="47"/>
      <c r="Y2003" s="47"/>
      <c r="Z2003" s="47"/>
      <c r="AA2003" s="47"/>
      <c r="AB2003" s="47"/>
      <c r="AC2003" s="47"/>
      <c r="AD2003" s="47"/>
      <c r="AE2003" s="47"/>
      <c r="AF2003" s="47"/>
      <c r="AG2003" s="47"/>
      <c r="AH2003" s="47"/>
      <c r="AI2003" s="47"/>
      <c r="AJ2003" s="47"/>
      <c r="AK2003" s="47"/>
      <c r="AL2003" s="47"/>
      <c r="AM2003" s="47"/>
      <c r="AN2003" s="47"/>
      <c r="AO2003" s="47"/>
      <c r="AP2003" s="47"/>
      <c r="AQ2003" s="47"/>
      <c r="AR2003" s="47"/>
      <c r="AS2003" s="47"/>
      <c r="AT2003" s="47"/>
      <c r="AU2003" s="47"/>
      <c r="AV2003" s="47"/>
    </row>
    <row r="2004" spans="1:48" s="27" customFormat="1" ht="15.75" customHeight="1">
      <c r="A2004" s="12"/>
      <c r="B2004" s="97" t="s">
        <v>637</v>
      </c>
      <c r="C2004" s="29" t="s">
        <v>638</v>
      </c>
      <c r="D2004" s="51"/>
      <c r="E2004" s="51"/>
      <c r="F2004" s="51"/>
      <c r="G2004" s="51">
        <v>7</v>
      </c>
      <c r="H2004" s="51">
        <v>7</v>
      </c>
      <c r="I2004" s="51">
        <v>8</v>
      </c>
      <c r="J2004" s="51"/>
      <c r="K2004" s="51">
        <v>8</v>
      </c>
      <c r="L2004" s="40" t="s">
        <v>556</v>
      </c>
      <c r="M2004" s="40" t="s">
        <v>556</v>
      </c>
      <c r="N2004" s="40">
        <v>1</v>
      </c>
      <c r="O2004" s="40" t="s">
        <v>556</v>
      </c>
      <c r="P2004" s="40">
        <v>1</v>
      </c>
      <c r="Q2004" s="33"/>
      <c r="R2004" s="28"/>
      <c r="S2004" s="2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</row>
    <row r="2005" spans="1:19" ht="15" customHeight="1">
      <c r="A2005" s="399" t="s">
        <v>656</v>
      </c>
      <c r="B2005" s="399"/>
      <c r="C2005" s="399"/>
      <c r="D2005" s="399"/>
      <c r="E2005" s="399"/>
      <c r="F2005" s="399"/>
      <c r="G2005" s="399"/>
      <c r="H2005" s="399"/>
      <c r="I2005" s="399"/>
      <c r="J2005" s="399"/>
      <c r="K2005" s="399"/>
      <c r="L2005" s="399"/>
      <c r="M2005" s="399"/>
      <c r="N2005" s="399"/>
      <c r="O2005" s="399"/>
      <c r="P2005" s="399"/>
      <c r="Q2005" s="20"/>
      <c r="R2005" s="20"/>
      <c r="S2005" s="7"/>
    </row>
    <row r="2006" spans="1:19" ht="13.5" customHeight="1">
      <c r="A2006" s="400" t="s">
        <v>909</v>
      </c>
      <c r="B2006" s="400"/>
      <c r="C2006" s="400"/>
      <c r="D2006" s="400"/>
      <c r="E2006" s="400"/>
      <c r="F2006" s="400"/>
      <c r="G2006" s="400"/>
      <c r="H2006" s="400"/>
      <c r="I2006" s="400"/>
      <c r="J2006" s="400"/>
      <c r="K2006" s="400"/>
      <c r="L2006" s="400"/>
      <c r="M2006" s="400"/>
      <c r="N2006" s="400"/>
      <c r="O2006" s="400"/>
      <c r="P2006" s="400"/>
      <c r="Q2006" s="21"/>
      <c r="R2006" s="21"/>
      <c r="S2006" s="8"/>
    </row>
    <row r="2007" spans="1:188" s="57" customFormat="1" ht="18" customHeight="1">
      <c r="A2007" s="13">
        <v>33</v>
      </c>
      <c r="B2007" s="92" t="s">
        <v>311</v>
      </c>
      <c r="C2007" s="45"/>
      <c r="D2007" s="44">
        <v>90</v>
      </c>
      <c r="E2007" s="44">
        <v>4</v>
      </c>
      <c r="F2007" s="44">
        <v>84</v>
      </c>
      <c r="G2007" s="44">
        <v>78</v>
      </c>
      <c r="H2007" s="44">
        <v>73</v>
      </c>
      <c r="I2007" s="44">
        <v>68</v>
      </c>
      <c r="J2007" s="44"/>
      <c r="K2007" s="44">
        <v>65</v>
      </c>
      <c r="L2007" s="44">
        <f>L2008</f>
        <v>17</v>
      </c>
      <c r="M2007" s="44">
        <f>M2008</f>
        <v>19</v>
      </c>
      <c r="N2007" s="44">
        <f>N2008</f>
        <v>19</v>
      </c>
      <c r="O2007" s="44">
        <f>O2008</f>
        <v>23</v>
      </c>
      <c r="P2007" s="44">
        <f>P2008</f>
        <v>23</v>
      </c>
      <c r="Q2007" s="54" t="s">
        <v>649</v>
      </c>
      <c r="R2007" s="54">
        <v>11</v>
      </c>
      <c r="S2007" s="55" t="s">
        <v>540</v>
      </c>
      <c r="T2007" s="56"/>
      <c r="U2007" s="56"/>
      <c r="V2007" s="56"/>
      <c r="W2007" s="56"/>
      <c r="X2007" s="56"/>
      <c r="Y2007" s="56"/>
      <c r="Z2007" s="56"/>
      <c r="AA2007" s="56"/>
      <c r="AB2007" s="56"/>
      <c r="AC2007" s="56"/>
      <c r="AD2007" s="56"/>
      <c r="AE2007" s="56"/>
      <c r="AF2007" s="56"/>
      <c r="AG2007" s="56"/>
      <c r="AH2007" s="56"/>
      <c r="AI2007" s="56"/>
      <c r="AJ2007" s="56"/>
      <c r="AK2007" s="56"/>
      <c r="AL2007" s="56"/>
      <c r="AM2007" s="56"/>
      <c r="AN2007" s="56"/>
      <c r="AO2007" s="56"/>
      <c r="AP2007" s="56"/>
      <c r="AQ2007" s="56"/>
      <c r="AR2007" s="56"/>
      <c r="AS2007" s="56"/>
      <c r="AT2007" s="56"/>
      <c r="AU2007" s="56"/>
      <c r="AV2007" s="56"/>
      <c r="AW2007" s="56"/>
      <c r="AX2007" s="56"/>
      <c r="AY2007" s="56"/>
      <c r="AZ2007" s="56"/>
      <c r="BA2007" s="56"/>
      <c r="BB2007" s="56"/>
      <c r="BC2007" s="56"/>
      <c r="BD2007" s="56"/>
      <c r="BE2007" s="56"/>
      <c r="BF2007" s="56"/>
      <c r="BG2007" s="56"/>
      <c r="BH2007" s="56"/>
      <c r="BI2007" s="56"/>
      <c r="BJ2007" s="56"/>
      <c r="BK2007" s="56"/>
      <c r="BL2007" s="56"/>
      <c r="BM2007" s="56"/>
      <c r="BN2007" s="56"/>
      <c r="BO2007" s="56"/>
      <c r="BP2007" s="56"/>
      <c r="BQ2007" s="56"/>
      <c r="BR2007" s="56"/>
      <c r="BS2007" s="56"/>
      <c r="BT2007" s="56"/>
      <c r="BU2007" s="56"/>
      <c r="BV2007" s="56"/>
      <c r="BW2007" s="56"/>
      <c r="BX2007" s="56"/>
      <c r="BY2007" s="56"/>
      <c r="BZ2007" s="56"/>
      <c r="CA2007" s="56"/>
      <c r="CB2007" s="56"/>
      <c r="CC2007" s="56"/>
      <c r="CD2007" s="56"/>
      <c r="CE2007" s="56"/>
      <c r="CF2007" s="56"/>
      <c r="CG2007" s="56"/>
      <c r="CH2007" s="56"/>
      <c r="CI2007" s="56"/>
      <c r="CJ2007" s="56"/>
      <c r="CK2007" s="56"/>
      <c r="CL2007" s="56"/>
      <c r="CM2007" s="56"/>
      <c r="CN2007" s="56"/>
      <c r="CO2007" s="56"/>
      <c r="CP2007" s="56"/>
      <c r="CQ2007" s="56"/>
      <c r="CR2007" s="56"/>
      <c r="CS2007" s="56"/>
      <c r="CT2007" s="56"/>
      <c r="CU2007" s="56"/>
      <c r="CV2007" s="56"/>
      <c r="CW2007" s="56"/>
      <c r="CX2007" s="56"/>
      <c r="CY2007" s="56"/>
      <c r="CZ2007" s="56"/>
      <c r="DA2007" s="56"/>
      <c r="DB2007" s="56"/>
      <c r="DC2007" s="56"/>
      <c r="DD2007" s="56"/>
      <c r="DE2007" s="56"/>
      <c r="DF2007" s="56"/>
      <c r="DG2007" s="56"/>
      <c r="DH2007" s="56"/>
      <c r="DI2007" s="56"/>
      <c r="DJ2007" s="56"/>
      <c r="DK2007" s="56"/>
      <c r="DL2007" s="56"/>
      <c r="DM2007" s="56"/>
      <c r="DN2007" s="56"/>
      <c r="DO2007" s="56"/>
      <c r="DP2007" s="56"/>
      <c r="DQ2007" s="56"/>
      <c r="DR2007" s="56"/>
      <c r="DS2007" s="56"/>
      <c r="DT2007" s="56"/>
      <c r="DU2007" s="56"/>
      <c r="DV2007" s="56"/>
      <c r="DW2007" s="56"/>
      <c r="DX2007" s="56"/>
      <c r="DY2007" s="56"/>
      <c r="DZ2007" s="56"/>
      <c r="EA2007" s="56"/>
      <c r="EB2007" s="56"/>
      <c r="EC2007" s="56"/>
      <c r="ED2007" s="56"/>
      <c r="EE2007" s="56"/>
      <c r="EF2007" s="56"/>
      <c r="EG2007" s="56"/>
      <c r="EH2007" s="56"/>
      <c r="EI2007" s="56"/>
      <c r="EJ2007" s="56"/>
      <c r="EK2007" s="56"/>
      <c r="EL2007" s="56"/>
      <c r="EM2007" s="56"/>
      <c r="EN2007" s="56"/>
      <c r="EO2007" s="56"/>
      <c r="EP2007" s="56"/>
      <c r="EQ2007" s="56"/>
      <c r="ER2007" s="56"/>
      <c r="ES2007" s="56"/>
      <c r="ET2007" s="56"/>
      <c r="EU2007" s="56"/>
      <c r="EV2007" s="56"/>
      <c r="EW2007" s="56"/>
      <c r="EX2007" s="56"/>
      <c r="EY2007" s="56"/>
      <c r="EZ2007" s="56"/>
      <c r="FA2007" s="56"/>
      <c r="FB2007" s="56"/>
      <c r="FC2007" s="56"/>
      <c r="FD2007" s="56"/>
      <c r="FE2007" s="56"/>
      <c r="FF2007" s="56"/>
      <c r="FG2007" s="56"/>
      <c r="FH2007" s="56"/>
      <c r="FI2007" s="56"/>
      <c r="FJ2007" s="56"/>
      <c r="FK2007" s="56"/>
      <c r="FL2007" s="56"/>
      <c r="FM2007" s="56"/>
      <c r="FN2007" s="56"/>
      <c r="FO2007" s="56"/>
      <c r="FP2007" s="56"/>
      <c r="FQ2007" s="56"/>
      <c r="FR2007" s="56"/>
      <c r="FS2007" s="56"/>
      <c r="FT2007" s="56"/>
      <c r="FU2007" s="56"/>
      <c r="FV2007" s="56"/>
      <c r="FW2007" s="56"/>
      <c r="FX2007" s="56"/>
      <c r="FY2007" s="56"/>
      <c r="FZ2007" s="56"/>
      <c r="GA2007" s="56"/>
      <c r="GB2007" s="56"/>
      <c r="GC2007" s="56"/>
      <c r="GD2007" s="56"/>
      <c r="GE2007" s="56"/>
      <c r="GF2007" s="56"/>
    </row>
    <row r="2008" spans="1:48" s="18" customFormat="1" ht="15.75" customHeight="1">
      <c r="A2008" s="50"/>
      <c r="B2008" s="93" t="s">
        <v>669</v>
      </c>
      <c r="C2008" s="16"/>
      <c r="D2008" s="52"/>
      <c r="E2008" s="52"/>
      <c r="F2008" s="52"/>
      <c r="G2008" s="52"/>
      <c r="H2008" s="52"/>
      <c r="I2008" s="52"/>
      <c r="J2008" s="52"/>
      <c r="K2008" s="52"/>
      <c r="L2008" s="60">
        <f>SUM(L2009:L2009)</f>
        <v>17</v>
      </c>
      <c r="M2008" s="60">
        <f>SUM(M2009:M2009)</f>
        <v>19</v>
      </c>
      <c r="N2008" s="60">
        <f>SUM(N2009:N2009)</f>
        <v>19</v>
      </c>
      <c r="O2008" s="60">
        <f>SUM(O2009:O2009)</f>
        <v>23</v>
      </c>
      <c r="P2008" s="60">
        <f>SUM(P2009:P2009)</f>
        <v>23</v>
      </c>
      <c r="Q2008" s="23"/>
      <c r="R2008" s="23"/>
      <c r="S2008" s="17"/>
      <c r="T2008" s="47"/>
      <c r="U2008" s="47"/>
      <c r="V2008" s="47"/>
      <c r="W2008" s="47"/>
      <c r="X2008" s="47"/>
      <c r="Y2008" s="47"/>
      <c r="Z2008" s="47"/>
      <c r="AA2008" s="47"/>
      <c r="AB2008" s="47"/>
      <c r="AC2008" s="47"/>
      <c r="AD2008" s="47"/>
      <c r="AE2008" s="47"/>
      <c r="AF2008" s="47"/>
      <c r="AG2008" s="47"/>
      <c r="AH2008" s="47"/>
      <c r="AI2008" s="47"/>
      <c r="AJ2008" s="47"/>
      <c r="AK2008" s="47"/>
      <c r="AL2008" s="47"/>
      <c r="AM2008" s="47"/>
      <c r="AN2008" s="47"/>
      <c r="AO2008" s="47"/>
      <c r="AP2008" s="47"/>
      <c r="AQ2008" s="47"/>
      <c r="AR2008" s="47"/>
      <c r="AS2008" s="47"/>
      <c r="AT2008" s="47"/>
      <c r="AU2008" s="47"/>
      <c r="AV2008" s="47"/>
    </row>
    <row r="2009" spans="1:48" s="27" customFormat="1" ht="15.75" customHeight="1">
      <c r="A2009" s="12"/>
      <c r="B2009" s="97" t="s">
        <v>599</v>
      </c>
      <c r="C2009" s="29" t="s">
        <v>600</v>
      </c>
      <c r="D2009" s="51"/>
      <c r="E2009" s="51"/>
      <c r="F2009" s="51">
        <v>20</v>
      </c>
      <c r="G2009" s="51">
        <v>18</v>
      </c>
      <c r="H2009" s="51">
        <v>18</v>
      </c>
      <c r="I2009" s="51">
        <v>17</v>
      </c>
      <c r="J2009" s="51"/>
      <c r="K2009" s="51">
        <v>15</v>
      </c>
      <c r="L2009" s="40">
        <v>17</v>
      </c>
      <c r="M2009" s="40">
        <v>19</v>
      </c>
      <c r="N2009" s="40">
        <v>19</v>
      </c>
      <c r="O2009" s="40">
        <v>23</v>
      </c>
      <c r="P2009" s="40">
        <v>23</v>
      </c>
      <c r="Q2009" s="30"/>
      <c r="R2009" s="30"/>
      <c r="S2009" s="30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</row>
    <row r="2010" spans="1:19" ht="15" customHeight="1">
      <c r="A2010" s="399" t="s">
        <v>655</v>
      </c>
      <c r="B2010" s="399"/>
      <c r="C2010" s="399"/>
      <c r="D2010" s="399"/>
      <c r="E2010" s="399"/>
      <c r="F2010" s="399"/>
      <c r="G2010" s="399"/>
      <c r="H2010" s="399"/>
      <c r="I2010" s="399"/>
      <c r="J2010" s="399"/>
      <c r="K2010" s="399"/>
      <c r="L2010" s="399"/>
      <c r="M2010" s="399"/>
      <c r="N2010" s="399"/>
      <c r="O2010" s="399"/>
      <c r="P2010" s="399"/>
      <c r="Q2010" s="20"/>
      <c r="R2010" s="20"/>
      <c r="S2010" s="7"/>
    </row>
    <row r="2011" spans="1:19" ht="13.5" customHeight="1">
      <c r="A2011" s="400" t="s">
        <v>909</v>
      </c>
      <c r="B2011" s="400"/>
      <c r="C2011" s="400"/>
      <c r="D2011" s="400"/>
      <c r="E2011" s="400"/>
      <c r="F2011" s="400"/>
      <c r="G2011" s="400"/>
      <c r="H2011" s="400"/>
      <c r="I2011" s="400"/>
      <c r="J2011" s="400"/>
      <c r="K2011" s="400"/>
      <c r="L2011" s="400"/>
      <c r="M2011" s="400"/>
      <c r="N2011" s="400"/>
      <c r="O2011" s="400"/>
      <c r="P2011" s="400"/>
      <c r="Q2011" s="21"/>
      <c r="R2011" s="21"/>
      <c r="S2011" s="8"/>
    </row>
    <row r="2012" spans="1:188" s="57" customFormat="1" ht="17.25" customHeight="1">
      <c r="A2012" s="13">
        <v>34</v>
      </c>
      <c r="B2012" s="92" t="s">
        <v>313</v>
      </c>
      <c r="C2012" s="45"/>
      <c r="D2012" s="44">
        <v>70</v>
      </c>
      <c r="E2012" s="44">
        <v>23</v>
      </c>
      <c r="F2012" s="44">
        <v>66</v>
      </c>
      <c r="G2012" s="44">
        <v>63</v>
      </c>
      <c r="H2012" s="44">
        <v>63</v>
      </c>
      <c r="I2012" s="44">
        <v>63</v>
      </c>
      <c r="J2012" s="44">
        <v>63</v>
      </c>
      <c r="K2012" s="44">
        <v>63</v>
      </c>
      <c r="L2012" s="44">
        <f>SUM(L2013,L2020,L2022)</f>
        <v>7</v>
      </c>
      <c r="M2012" s="44">
        <f>SUM(M2013,M2020,M2022)</f>
        <v>1</v>
      </c>
      <c r="N2012" s="44">
        <f>SUM(N2013,N2020,N2022)</f>
        <v>2</v>
      </c>
      <c r="O2012" s="44">
        <f>SUM(O2013,O2020,O2022)</f>
        <v>1</v>
      </c>
      <c r="P2012" s="44">
        <f>SUM(P2013,P2020,P2022)</f>
        <v>4</v>
      </c>
      <c r="Q2012" s="123">
        <f>Q2013</f>
        <v>0</v>
      </c>
      <c r="R2012" s="44">
        <f>R2013</f>
        <v>0</v>
      </c>
      <c r="S2012" s="44">
        <f>S2013</f>
        <v>0</v>
      </c>
      <c r="T2012" s="56"/>
      <c r="U2012" s="56"/>
      <c r="V2012" s="56"/>
      <c r="W2012" s="56"/>
      <c r="X2012" s="56"/>
      <c r="Y2012" s="56"/>
      <c r="Z2012" s="56"/>
      <c r="AA2012" s="56"/>
      <c r="AB2012" s="56"/>
      <c r="AC2012" s="56"/>
      <c r="AD2012" s="56"/>
      <c r="AE2012" s="56"/>
      <c r="AF2012" s="56"/>
      <c r="AG2012" s="56"/>
      <c r="AH2012" s="56"/>
      <c r="AI2012" s="56"/>
      <c r="AJ2012" s="56"/>
      <c r="AK2012" s="56"/>
      <c r="AL2012" s="56"/>
      <c r="AM2012" s="56"/>
      <c r="AN2012" s="56"/>
      <c r="AO2012" s="56"/>
      <c r="AP2012" s="56"/>
      <c r="AQ2012" s="56"/>
      <c r="AR2012" s="56"/>
      <c r="AS2012" s="56"/>
      <c r="AT2012" s="56"/>
      <c r="AU2012" s="56"/>
      <c r="AV2012" s="56"/>
      <c r="AW2012" s="56"/>
      <c r="AX2012" s="56"/>
      <c r="AY2012" s="56"/>
      <c r="AZ2012" s="56"/>
      <c r="BA2012" s="56"/>
      <c r="BB2012" s="56"/>
      <c r="BC2012" s="56"/>
      <c r="BD2012" s="56"/>
      <c r="BE2012" s="56"/>
      <c r="BF2012" s="56"/>
      <c r="BG2012" s="56"/>
      <c r="BH2012" s="56"/>
      <c r="BI2012" s="56"/>
      <c r="BJ2012" s="56"/>
      <c r="BK2012" s="56"/>
      <c r="BL2012" s="56"/>
      <c r="BM2012" s="56"/>
      <c r="BN2012" s="56"/>
      <c r="BO2012" s="56"/>
      <c r="BP2012" s="56"/>
      <c r="BQ2012" s="56"/>
      <c r="BR2012" s="56"/>
      <c r="BS2012" s="56"/>
      <c r="BT2012" s="56"/>
      <c r="BU2012" s="56"/>
      <c r="BV2012" s="56"/>
      <c r="BW2012" s="56"/>
      <c r="BX2012" s="56"/>
      <c r="BY2012" s="56"/>
      <c r="BZ2012" s="56"/>
      <c r="CA2012" s="56"/>
      <c r="CB2012" s="56"/>
      <c r="CC2012" s="56"/>
      <c r="CD2012" s="56"/>
      <c r="CE2012" s="56"/>
      <c r="CF2012" s="56"/>
      <c r="CG2012" s="56"/>
      <c r="CH2012" s="56"/>
      <c r="CI2012" s="56"/>
      <c r="CJ2012" s="56"/>
      <c r="CK2012" s="56"/>
      <c r="CL2012" s="56"/>
      <c r="CM2012" s="56"/>
      <c r="CN2012" s="56"/>
      <c r="CO2012" s="56"/>
      <c r="CP2012" s="56"/>
      <c r="CQ2012" s="56"/>
      <c r="CR2012" s="56"/>
      <c r="CS2012" s="56"/>
      <c r="CT2012" s="56"/>
      <c r="CU2012" s="56"/>
      <c r="CV2012" s="56"/>
      <c r="CW2012" s="56"/>
      <c r="CX2012" s="56"/>
      <c r="CY2012" s="56"/>
      <c r="CZ2012" s="56"/>
      <c r="DA2012" s="56"/>
      <c r="DB2012" s="56"/>
      <c r="DC2012" s="56"/>
      <c r="DD2012" s="56"/>
      <c r="DE2012" s="56"/>
      <c r="DF2012" s="56"/>
      <c r="DG2012" s="56"/>
      <c r="DH2012" s="56"/>
      <c r="DI2012" s="56"/>
      <c r="DJ2012" s="56"/>
      <c r="DK2012" s="56"/>
      <c r="DL2012" s="56"/>
      <c r="DM2012" s="56"/>
      <c r="DN2012" s="56"/>
      <c r="DO2012" s="56"/>
      <c r="DP2012" s="56"/>
      <c r="DQ2012" s="56"/>
      <c r="DR2012" s="56"/>
      <c r="DS2012" s="56"/>
      <c r="DT2012" s="56"/>
      <c r="DU2012" s="56"/>
      <c r="DV2012" s="56"/>
      <c r="DW2012" s="56"/>
      <c r="DX2012" s="56"/>
      <c r="DY2012" s="56"/>
      <c r="DZ2012" s="56"/>
      <c r="EA2012" s="56"/>
      <c r="EB2012" s="56"/>
      <c r="EC2012" s="56"/>
      <c r="ED2012" s="56"/>
      <c r="EE2012" s="56"/>
      <c r="EF2012" s="56"/>
      <c r="EG2012" s="56"/>
      <c r="EH2012" s="56"/>
      <c r="EI2012" s="56"/>
      <c r="EJ2012" s="56"/>
      <c r="EK2012" s="56"/>
      <c r="EL2012" s="56"/>
      <c r="EM2012" s="56"/>
      <c r="EN2012" s="56"/>
      <c r="EO2012" s="56"/>
      <c r="EP2012" s="56"/>
      <c r="EQ2012" s="56"/>
      <c r="ER2012" s="56"/>
      <c r="ES2012" s="56"/>
      <c r="ET2012" s="56"/>
      <c r="EU2012" s="56"/>
      <c r="EV2012" s="56"/>
      <c r="EW2012" s="56"/>
      <c r="EX2012" s="56"/>
      <c r="EY2012" s="56"/>
      <c r="EZ2012" s="56"/>
      <c r="FA2012" s="56"/>
      <c r="FB2012" s="56"/>
      <c r="FC2012" s="56"/>
      <c r="FD2012" s="56"/>
      <c r="FE2012" s="56"/>
      <c r="FF2012" s="56"/>
      <c r="FG2012" s="56"/>
      <c r="FH2012" s="56"/>
      <c r="FI2012" s="56"/>
      <c r="FJ2012" s="56"/>
      <c r="FK2012" s="56"/>
      <c r="FL2012" s="56"/>
      <c r="FM2012" s="56"/>
      <c r="FN2012" s="56"/>
      <c r="FO2012" s="56"/>
      <c r="FP2012" s="56"/>
      <c r="FQ2012" s="56"/>
      <c r="FR2012" s="56"/>
      <c r="FS2012" s="56"/>
      <c r="FT2012" s="56"/>
      <c r="FU2012" s="56"/>
      <c r="FV2012" s="56"/>
      <c r="FW2012" s="56"/>
      <c r="FX2012" s="56"/>
      <c r="FY2012" s="56"/>
      <c r="FZ2012" s="56"/>
      <c r="GA2012" s="56"/>
      <c r="GB2012" s="56"/>
      <c r="GC2012" s="56"/>
      <c r="GD2012" s="56"/>
      <c r="GE2012" s="56"/>
      <c r="GF2012" s="56"/>
    </row>
    <row r="2013" spans="1:48" s="18" customFormat="1" ht="17.25" customHeight="1">
      <c r="A2013" s="50"/>
      <c r="B2013" s="93" t="s">
        <v>669</v>
      </c>
      <c r="C2013" s="16"/>
      <c r="D2013" s="52"/>
      <c r="E2013" s="52"/>
      <c r="F2013" s="52"/>
      <c r="G2013" s="52"/>
      <c r="H2013" s="52"/>
      <c r="I2013" s="52"/>
      <c r="J2013" s="52"/>
      <c r="K2013" s="52"/>
      <c r="L2013" s="60">
        <f aca="true" t="shared" si="67" ref="L2013:S2013">SUM(L2014:L2019)</f>
        <v>6</v>
      </c>
      <c r="M2013" s="60">
        <f t="shared" si="67"/>
        <v>1</v>
      </c>
      <c r="N2013" s="60">
        <f>SUM(N2014:N2019)</f>
        <v>2</v>
      </c>
      <c r="O2013" s="60">
        <f t="shared" si="67"/>
        <v>1</v>
      </c>
      <c r="P2013" s="60">
        <f t="shared" si="67"/>
        <v>2</v>
      </c>
      <c r="Q2013" s="238">
        <f t="shared" si="67"/>
        <v>0</v>
      </c>
      <c r="R2013" s="52">
        <f t="shared" si="67"/>
        <v>0</v>
      </c>
      <c r="S2013" s="52">
        <f t="shared" si="67"/>
        <v>0</v>
      </c>
      <c r="T2013" s="47"/>
      <c r="U2013" s="47"/>
      <c r="V2013" s="47"/>
      <c r="W2013" s="47"/>
      <c r="X2013" s="47"/>
      <c r="Y2013" s="47"/>
      <c r="Z2013" s="47"/>
      <c r="AA2013" s="47"/>
      <c r="AB2013" s="47"/>
      <c r="AC2013" s="47"/>
      <c r="AD2013" s="47"/>
      <c r="AE2013" s="47"/>
      <c r="AF2013" s="47"/>
      <c r="AG2013" s="47"/>
      <c r="AH2013" s="47"/>
      <c r="AI2013" s="47"/>
      <c r="AJ2013" s="47"/>
      <c r="AK2013" s="47"/>
      <c r="AL2013" s="47"/>
      <c r="AM2013" s="47"/>
      <c r="AN2013" s="47"/>
      <c r="AO2013" s="47"/>
      <c r="AP2013" s="47"/>
      <c r="AQ2013" s="47"/>
      <c r="AR2013" s="47"/>
      <c r="AS2013" s="47"/>
      <c r="AT2013" s="47"/>
      <c r="AU2013" s="47"/>
      <c r="AV2013" s="47"/>
    </row>
    <row r="2014" spans="1:48" s="27" customFormat="1" ht="17.25" customHeight="1">
      <c r="A2014" s="12"/>
      <c r="B2014" s="97" t="s">
        <v>599</v>
      </c>
      <c r="C2014" s="15" t="s">
        <v>600</v>
      </c>
      <c r="D2014" s="40"/>
      <c r="E2014" s="40"/>
      <c r="F2014" s="40">
        <v>3</v>
      </c>
      <c r="G2014" s="40">
        <v>4</v>
      </c>
      <c r="H2014" s="40">
        <v>4</v>
      </c>
      <c r="I2014" s="40">
        <v>4</v>
      </c>
      <c r="J2014" s="40">
        <v>4</v>
      </c>
      <c r="K2014" s="40">
        <v>4</v>
      </c>
      <c r="L2014" s="40">
        <v>1</v>
      </c>
      <c r="M2014" s="40" t="s">
        <v>556</v>
      </c>
      <c r="N2014" s="40">
        <v>1</v>
      </c>
      <c r="O2014" s="40" t="s">
        <v>556</v>
      </c>
      <c r="P2014" s="40" t="s">
        <v>556</v>
      </c>
      <c r="Q2014" s="30"/>
      <c r="R2014" s="30"/>
      <c r="S2014" s="30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</row>
    <row r="2015" spans="1:48" s="27" customFormat="1" ht="17.25" customHeight="1">
      <c r="A2015" s="12"/>
      <c r="B2015" s="97" t="s">
        <v>448</v>
      </c>
      <c r="C2015" s="29" t="s">
        <v>449</v>
      </c>
      <c r="D2015" s="40"/>
      <c r="E2015" s="40"/>
      <c r="F2015" s="40">
        <v>10</v>
      </c>
      <c r="G2015" s="40">
        <v>13</v>
      </c>
      <c r="H2015" s="40">
        <v>13</v>
      </c>
      <c r="I2015" s="40">
        <v>13</v>
      </c>
      <c r="J2015" s="40">
        <v>13</v>
      </c>
      <c r="K2015" s="40">
        <v>13</v>
      </c>
      <c r="L2015" s="40">
        <v>2</v>
      </c>
      <c r="M2015" s="40">
        <v>1</v>
      </c>
      <c r="N2015" s="40" t="s">
        <v>556</v>
      </c>
      <c r="O2015" s="40">
        <v>1</v>
      </c>
      <c r="P2015" s="40">
        <v>2</v>
      </c>
      <c r="Q2015" s="30"/>
      <c r="R2015" s="30"/>
      <c r="S2015" s="30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</row>
    <row r="2016" spans="1:48" s="27" customFormat="1" ht="17.25" customHeight="1">
      <c r="A2016" s="12"/>
      <c r="B2016" s="97" t="s">
        <v>560</v>
      </c>
      <c r="C2016" s="29" t="s">
        <v>1319</v>
      </c>
      <c r="D2016" s="40"/>
      <c r="E2016" s="40"/>
      <c r="F2016" s="40">
        <v>6</v>
      </c>
      <c r="G2016" s="40">
        <v>6</v>
      </c>
      <c r="H2016" s="40">
        <v>6</v>
      </c>
      <c r="I2016" s="40">
        <v>6</v>
      </c>
      <c r="J2016" s="40">
        <v>6</v>
      </c>
      <c r="K2016" s="40">
        <v>6</v>
      </c>
      <c r="L2016" s="40">
        <v>1</v>
      </c>
      <c r="M2016" s="40" t="s">
        <v>556</v>
      </c>
      <c r="N2016" s="40" t="s">
        <v>556</v>
      </c>
      <c r="O2016" s="40" t="s">
        <v>556</v>
      </c>
      <c r="P2016" s="40" t="s">
        <v>556</v>
      </c>
      <c r="Q2016" s="30"/>
      <c r="R2016" s="30"/>
      <c r="S2016" s="30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</row>
    <row r="2017" spans="1:48" s="27" customFormat="1" ht="17.25" customHeight="1">
      <c r="A2017" s="12"/>
      <c r="B2017" s="97" t="s">
        <v>453</v>
      </c>
      <c r="C2017" s="29" t="s">
        <v>454</v>
      </c>
      <c r="D2017" s="40"/>
      <c r="E2017" s="40"/>
      <c r="F2017" s="40"/>
      <c r="G2017" s="40">
        <v>3</v>
      </c>
      <c r="H2017" s="40">
        <v>3</v>
      </c>
      <c r="I2017" s="40">
        <v>3</v>
      </c>
      <c r="J2017" s="40">
        <v>3</v>
      </c>
      <c r="K2017" s="40">
        <v>3</v>
      </c>
      <c r="L2017" s="40">
        <v>1</v>
      </c>
      <c r="M2017" s="40" t="s">
        <v>556</v>
      </c>
      <c r="N2017" s="40" t="s">
        <v>556</v>
      </c>
      <c r="O2017" s="40" t="s">
        <v>556</v>
      </c>
      <c r="P2017" s="40" t="s">
        <v>556</v>
      </c>
      <c r="Q2017" s="30"/>
      <c r="R2017" s="30"/>
      <c r="S2017" s="30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</row>
    <row r="2018" spans="1:48" s="27" customFormat="1" ht="17.25" customHeight="1">
      <c r="A2018" s="12"/>
      <c r="B2018" s="105" t="s">
        <v>1331</v>
      </c>
      <c r="C2018" s="15">
        <v>17050137</v>
      </c>
      <c r="D2018" s="40"/>
      <c r="E2018" s="40"/>
      <c r="F2018" s="40"/>
      <c r="G2018" s="40">
        <v>2</v>
      </c>
      <c r="H2018" s="40">
        <v>2</v>
      </c>
      <c r="I2018" s="40">
        <v>2</v>
      </c>
      <c r="J2018" s="40">
        <v>2</v>
      </c>
      <c r="K2018" s="40">
        <v>2</v>
      </c>
      <c r="L2018" s="40" t="s">
        <v>556</v>
      </c>
      <c r="M2018" s="40" t="s">
        <v>556</v>
      </c>
      <c r="N2018" s="40">
        <v>1</v>
      </c>
      <c r="O2018" s="40" t="s">
        <v>556</v>
      </c>
      <c r="P2018" s="40" t="s">
        <v>556</v>
      </c>
      <c r="Q2018" s="30"/>
      <c r="R2018" s="30"/>
      <c r="S2018" s="30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</row>
    <row r="2019" spans="1:48" s="27" customFormat="1" ht="17.25" customHeight="1">
      <c r="A2019" s="12"/>
      <c r="B2019" s="97" t="s">
        <v>1321</v>
      </c>
      <c r="C2019" s="29" t="s">
        <v>1323</v>
      </c>
      <c r="D2019" s="40"/>
      <c r="E2019" s="40"/>
      <c r="F2019" s="40">
        <v>1</v>
      </c>
      <c r="G2019" s="40">
        <v>1</v>
      </c>
      <c r="H2019" s="40">
        <v>1</v>
      </c>
      <c r="I2019" s="40">
        <v>1</v>
      </c>
      <c r="J2019" s="40">
        <v>1</v>
      </c>
      <c r="K2019" s="40">
        <v>1</v>
      </c>
      <c r="L2019" s="40">
        <v>1</v>
      </c>
      <c r="M2019" s="40" t="s">
        <v>556</v>
      </c>
      <c r="N2019" s="40" t="s">
        <v>556</v>
      </c>
      <c r="O2019" s="40" t="s">
        <v>556</v>
      </c>
      <c r="P2019" s="40" t="s">
        <v>556</v>
      </c>
      <c r="Q2019" s="30"/>
      <c r="R2019" s="30"/>
      <c r="S2019" s="30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</row>
    <row r="2020" spans="1:48" s="18" customFormat="1" ht="17.25" customHeight="1">
      <c r="A2020" s="50"/>
      <c r="B2020" s="93" t="s">
        <v>670</v>
      </c>
      <c r="C2020" s="16"/>
      <c r="D2020" s="52"/>
      <c r="E2020" s="52"/>
      <c r="F2020" s="52"/>
      <c r="G2020" s="52"/>
      <c r="H2020" s="52"/>
      <c r="I2020" s="52"/>
      <c r="J2020" s="52"/>
      <c r="K2020" s="52"/>
      <c r="L2020" s="60" t="str">
        <f>L2021</f>
        <v> -</v>
      </c>
      <c r="M2020" s="60" t="str">
        <f>M2021</f>
        <v> -</v>
      </c>
      <c r="N2020" s="60"/>
      <c r="O2020" s="60" t="str">
        <f>O2021</f>
        <v> -</v>
      </c>
      <c r="P2020" s="60">
        <f>P2021</f>
        <v>1</v>
      </c>
      <c r="Q2020" s="238">
        <f>SUM(Q2021:Q2024)</f>
        <v>0</v>
      </c>
      <c r="R2020" s="52">
        <f>SUM(R2021:R2024)</f>
        <v>0</v>
      </c>
      <c r="S2020" s="52">
        <f>SUM(S2021:S2024)</f>
        <v>0</v>
      </c>
      <c r="T2020" s="47"/>
      <c r="U2020" s="47"/>
      <c r="V2020" s="47"/>
      <c r="W2020" s="47"/>
      <c r="X2020" s="47"/>
      <c r="Y2020" s="47"/>
      <c r="Z2020" s="47"/>
      <c r="AA2020" s="47"/>
      <c r="AB2020" s="47"/>
      <c r="AC2020" s="47"/>
      <c r="AD2020" s="47"/>
      <c r="AE2020" s="47"/>
      <c r="AF2020" s="47"/>
      <c r="AG2020" s="47"/>
      <c r="AH2020" s="47"/>
      <c r="AI2020" s="47"/>
      <c r="AJ2020" s="47"/>
      <c r="AK2020" s="47"/>
      <c r="AL2020" s="47"/>
      <c r="AM2020" s="47"/>
      <c r="AN2020" s="47"/>
      <c r="AO2020" s="47"/>
      <c r="AP2020" s="47"/>
      <c r="AQ2020" s="47"/>
      <c r="AR2020" s="47"/>
      <c r="AS2020" s="47"/>
      <c r="AT2020" s="47"/>
      <c r="AU2020" s="47"/>
      <c r="AV2020" s="47"/>
    </row>
    <row r="2021" spans="1:48" s="27" customFormat="1" ht="17.25" customHeight="1">
      <c r="A2021" s="12"/>
      <c r="B2021" s="97" t="s">
        <v>561</v>
      </c>
      <c r="C2021" s="66" t="s">
        <v>804</v>
      </c>
      <c r="D2021" s="40"/>
      <c r="E2021" s="40"/>
      <c r="F2021" s="40"/>
      <c r="G2021" s="40">
        <v>2</v>
      </c>
      <c r="H2021" s="40">
        <v>2</v>
      </c>
      <c r="I2021" s="40">
        <v>2</v>
      </c>
      <c r="J2021" s="40">
        <v>2</v>
      </c>
      <c r="K2021" s="40">
        <v>2</v>
      </c>
      <c r="L2021" s="40" t="s">
        <v>556</v>
      </c>
      <c r="M2021" s="40" t="s">
        <v>556</v>
      </c>
      <c r="N2021" s="40">
        <v>1</v>
      </c>
      <c r="O2021" s="40" t="s">
        <v>556</v>
      </c>
      <c r="P2021" s="40">
        <v>1</v>
      </c>
      <c r="Q2021" s="30"/>
      <c r="R2021" s="30"/>
      <c r="S2021" s="30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</row>
    <row r="2022" spans="1:48" s="18" customFormat="1" ht="17.25" customHeight="1">
      <c r="A2022" s="50"/>
      <c r="B2022" s="93" t="s">
        <v>37</v>
      </c>
      <c r="C2022" s="16"/>
      <c r="D2022" s="52"/>
      <c r="E2022" s="52"/>
      <c r="F2022" s="52"/>
      <c r="G2022" s="52"/>
      <c r="H2022" s="52"/>
      <c r="I2022" s="52"/>
      <c r="J2022" s="52"/>
      <c r="K2022" s="52"/>
      <c r="L2022" s="60">
        <f>SUM(L2023:L2024)</f>
        <v>1</v>
      </c>
      <c r="M2022" s="60" t="s">
        <v>556</v>
      </c>
      <c r="N2022" s="60" t="s">
        <v>556</v>
      </c>
      <c r="O2022" s="60" t="s">
        <v>556</v>
      </c>
      <c r="P2022" s="60">
        <v>1</v>
      </c>
      <c r="Q2022" s="238">
        <f>SUM(Q2023:Q2024)</f>
        <v>0</v>
      </c>
      <c r="R2022" s="52">
        <f>SUM(R2023:R2024)</f>
        <v>0</v>
      </c>
      <c r="S2022" s="52">
        <f>SUM(S2023:S2024)</f>
        <v>0</v>
      </c>
      <c r="T2022" s="47"/>
      <c r="U2022" s="47"/>
      <c r="V2022" s="47"/>
      <c r="W2022" s="47"/>
      <c r="X2022" s="47"/>
      <c r="Y2022" s="47"/>
      <c r="Z2022" s="47"/>
      <c r="AA2022" s="47"/>
      <c r="AB2022" s="47"/>
      <c r="AC2022" s="47"/>
      <c r="AD2022" s="47"/>
      <c r="AE2022" s="47"/>
      <c r="AF2022" s="47"/>
      <c r="AG2022" s="47"/>
      <c r="AH2022" s="47"/>
      <c r="AI2022" s="47"/>
      <c r="AJ2022" s="47"/>
      <c r="AK2022" s="47"/>
      <c r="AL2022" s="47"/>
      <c r="AM2022" s="47"/>
      <c r="AN2022" s="47"/>
      <c r="AO2022" s="47"/>
      <c r="AP2022" s="47"/>
      <c r="AQ2022" s="47"/>
      <c r="AR2022" s="47"/>
      <c r="AS2022" s="47"/>
      <c r="AT2022" s="47"/>
      <c r="AU2022" s="47"/>
      <c r="AV2022" s="47"/>
    </row>
    <row r="2023" spans="1:48" s="27" customFormat="1" ht="17.25" customHeight="1">
      <c r="A2023" s="12"/>
      <c r="B2023" s="97" t="s">
        <v>38</v>
      </c>
      <c r="C2023" s="65" t="s">
        <v>457</v>
      </c>
      <c r="D2023" s="40"/>
      <c r="E2023" s="40"/>
      <c r="F2023" s="40"/>
      <c r="G2023" s="40">
        <v>1</v>
      </c>
      <c r="H2023" s="40">
        <v>1</v>
      </c>
      <c r="I2023" s="40">
        <v>1</v>
      </c>
      <c r="J2023" s="40">
        <v>1</v>
      </c>
      <c r="K2023" s="40">
        <v>1</v>
      </c>
      <c r="L2023" s="40">
        <v>1</v>
      </c>
      <c r="M2023" s="40" t="s">
        <v>556</v>
      </c>
      <c r="N2023" s="40" t="s">
        <v>556</v>
      </c>
      <c r="O2023" s="40" t="s">
        <v>556</v>
      </c>
      <c r="P2023" s="40" t="s">
        <v>556</v>
      </c>
      <c r="Q2023" s="30"/>
      <c r="R2023" s="30"/>
      <c r="S2023" s="30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</row>
    <row r="2024" spans="1:48" s="27" customFormat="1" ht="17.25" customHeight="1">
      <c r="A2024" s="12"/>
      <c r="B2024" s="106" t="s">
        <v>1018</v>
      </c>
      <c r="C2024" s="66" t="s">
        <v>1019</v>
      </c>
      <c r="D2024" s="40"/>
      <c r="E2024" s="40"/>
      <c r="F2024" s="40"/>
      <c r="G2024" s="40">
        <v>1</v>
      </c>
      <c r="H2024" s="40">
        <v>1</v>
      </c>
      <c r="I2024" s="40">
        <v>1</v>
      </c>
      <c r="J2024" s="40">
        <v>1</v>
      </c>
      <c r="K2024" s="40">
        <v>1</v>
      </c>
      <c r="L2024" s="40" t="s">
        <v>556</v>
      </c>
      <c r="M2024" s="40" t="s">
        <v>556</v>
      </c>
      <c r="N2024" s="40" t="s">
        <v>556</v>
      </c>
      <c r="O2024" s="40" t="s">
        <v>556</v>
      </c>
      <c r="P2024" s="40">
        <v>1</v>
      </c>
      <c r="Q2024" s="30"/>
      <c r="R2024" s="30"/>
      <c r="S2024" s="30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</row>
    <row r="2025" spans="1:19" ht="19.5" customHeight="1">
      <c r="A2025" s="399" t="s">
        <v>654</v>
      </c>
      <c r="B2025" s="399"/>
      <c r="C2025" s="399"/>
      <c r="D2025" s="399"/>
      <c r="E2025" s="399"/>
      <c r="F2025" s="399"/>
      <c r="G2025" s="399"/>
      <c r="H2025" s="399"/>
      <c r="I2025" s="399"/>
      <c r="J2025" s="399"/>
      <c r="K2025" s="399"/>
      <c r="L2025" s="399"/>
      <c r="M2025" s="399"/>
      <c r="N2025" s="399"/>
      <c r="O2025" s="399"/>
      <c r="P2025" s="399"/>
      <c r="Q2025" s="20"/>
      <c r="R2025" s="20"/>
      <c r="S2025" s="7"/>
    </row>
    <row r="2026" spans="1:19" ht="19.5" customHeight="1">
      <c r="A2026" s="400" t="s">
        <v>676</v>
      </c>
      <c r="B2026" s="400"/>
      <c r="C2026" s="400"/>
      <c r="D2026" s="400"/>
      <c r="E2026" s="400"/>
      <c r="F2026" s="400"/>
      <c r="G2026" s="400"/>
      <c r="H2026" s="400"/>
      <c r="I2026" s="400"/>
      <c r="J2026" s="400"/>
      <c r="K2026" s="400"/>
      <c r="L2026" s="400"/>
      <c r="M2026" s="400"/>
      <c r="N2026" s="400"/>
      <c r="O2026" s="400"/>
      <c r="P2026" s="400"/>
      <c r="Q2026" s="21"/>
      <c r="R2026" s="21"/>
      <c r="S2026" s="8"/>
    </row>
    <row r="2027" spans="1:188" s="57" customFormat="1" ht="15" customHeight="1">
      <c r="A2027" s="13">
        <v>35</v>
      </c>
      <c r="B2027" s="92" t="s">
        <v>315</v>
      </c>
      <c r="C2027" s="45"/>
      <c r="D2027" s="44">
        <v>120</v>
      </c>
      <c r="E2027" s="44"/>
      <c r="F2027" s="44"/>
      <c r="G2027" s="44"/>
      <c r="H2027" s="44"/>
      <c r="I2027" s="44"/>
      <c r="J2027" s="44"/>
      <c r="K2027" s="44"/>
      <c r="L2027" s="44">
        <f>L2035+L2028</f>
        <v>29</v>
      </c>
      <c r="M2027" s="44">
        <f>M2035+M2028</f>
        <v>28</v>
      </c>
      <c r="N2027" s="44">
        <f>N2035+N2028</f>
        <v>28</v>
      </c>
      <c r="O2027" s="44">
        <f>O2035+O2028</f>
        <v>28</v>
      </c>
      <c r="P2027" s="44">
        <f>P2035+P2028</f>
        <v>28</v>
      </c>
      <c r="Q2027" s="54" t="s">
        <v>649</v>
      </c>
      <c r="R2027" s="54">
        <v>12</v>
      </c>
      <c r="S2027" s="55" t="s">
        <v>541</v>
      </c>
      <c r="T2027" s="56"/>
      <c r="U2027" s="56"/>
      <c r="V2027" s="56"/>
      <c r="W2027" s="56"/>
      <c r="X2027" s="56"/>
      <c r="Y2027" s="56"/>
      <c r="Z2027" s="56"/>
      <c r="AA2027" s="56"/>
      <c r="AB2027" s="56"/>
      <c r="AC2027" s="56"/>
      <c r="AD2027" s="56"/>
      <c r="AE2027" s="56"/>
      <c r="AF2027" s="56"/>
      <c r="AG2027" s="56"/>
      <c r="AH2027" s="56"/>
      <c r="AI2027" s="56"/>
      <c r="AJ2027" s="56"/>
      <c r="AK2027" s="56"/>
      <c r="AL2027" s="56"/>
      <c r="AM2027" s="56"/>
      <c r="AN2027" s="56"/>
      <c r="AO2027" s="56"/>
      <c r="AP2027" s="56"/>
      <c r="AQ2027" s="56"/>
      <c r="AR2027" s="56"/>
      <c r="AS2027" s="56"/>
      <c r="AT2027" s="56"/>
      <c r="AU2027" s="56"/>
      <c r="AV2027" s="56"/>
      <c r="AW2027" s="56"/>
      <c r="AX2027" s="56"/>
      <c r="AY2027" s="56"/>
      <c r="AZ2027" s="56"/>
      <c r="BA2027" s="56"/>
      <c r="BB2027" s="56"/>
      <c r="BC2027" s="56"/>
      <c r="BD2027" s="56"/>
      <c r="BE2027" s="56"/>
      <c r="BF2027" s="56"/>
      <c r="BG2027" s="56"/>
      <c r="BH2027" s="56"/>
      <c r="BI2027" s="56"/>
      <c r="BJ2027" s="56"/>
      <c r="BK2027" s="56"/>
      <c r="BL2027" s="56"/>
      <c r="BM2027" s="56"/>
      <c r="BN2027" s="56"/>
      <c r="BO2027" s="56"/>
      <c r="BP2027" s="56"/>
      <c r="BQ2027" s="56"/>
      <c r="BR2027" s="56"/>
      <c r="BS2027" s="56"/>
      <c r="BT2027" s="56"/>
      <c r="BU2027" s="56"/>
      <c r="BV2027" s="56"/>
      <c r="BW2027" s="56"/>
      <c r="BX2027" s="56"/>
      <c r="BY2027" s="56"/>
      <c r="BZ2027" s="56"/>
      <c r="CA2027" s="56"/>
      <c r="CB2027" s="56"/>
      <c r="CC2027" s="56"/>
      <c r="CD2027" s="56"/>
      <c r="CE2027" s="56"/>
      <c r="CF2027" s="56"/>
      <c r="CG2027" s="56"/>
      <c r="CH2027" s="56"/>
      <c r="CI2027" s="56"/>
      <c r="CJ2027" s="56"/>
      <c r="CK2027" s="56"/>
      <c r="CL2027" s="56"/>
      <c r="CM2027" s="56"/>
      <c r="CN2027" s="56"/>
      <c r="CO2027" s="56"/>
      <c r="CP2027" s="56"/>
      <c r="CQ2027" s="56"/>
      <c r="CR2027" s="56"/>
      <c r="CS2027" s="56"/>
      <c r="CT2027" s="56"/>
      <c r="CU2027" s="56"/>
      <c r="CV2027" s="56"/>
      <c r="CW2027" s="56"/>
      <c r="CX2027" s="56"/>
      <c r="CY2027" s="56"/>
      <c r="CZ2027" s="56"/>
      <c r="DA2027" s="56"/>
      <c r="DB2027" s="56"/>
      <c r="DC2027" s="56"/>
      <c r="DD2027" s="56"/>
      <c r="DE2027" s="56"/>
      <c r="DF2027" s="56"/>
      <c r="DG2027" s="56"/>
      <c r="DH2027" s="56"/>
      <c r="DI2027" s="56"/>
      <c r="DJ2027" s="56"/>
      <c r="DK2027" s="56"/>
      <c r="DL2027" s="56"/>
      <c r="DM2027" s="56"/>
      <c r="DN2027" s="56"/>
      <c r="DO2027" s="56"/>
      <c r="DP2027" s="56"/>
      <c r="DQ2027" s="56"/>
      <c r="DR2027" s="56"/>
      <c r="DS2027" s="56"/>
      <c r="DT2027" s="56"/>
      <c r="DU2027" s="56"/>
      <c r="DV2027" s="56"/>
      <c r="DW2027" s="56"/>
      <c r="DX2027" s="56"/>
      <c r="DY2027" s="56"/>
      <c r="DZ2027" s="56"/>
      <c r="EA2027" s="56"/>
      <c r="EB2027" s="56"/>
      <c r="EC2027" s="56"/>
      <c r="ED2027" s="56"/>
      <c r="EE2027" s="56"/>
      <c r="EF2027" s="56"/>
      <c r="EG2027" s="56"/>
      <c r="EH2027" s="56"/>
      <c r="EI2027" s="56"/>
      <c r="EJ2027" s="56"/>
      <c r="EK2027" s="56"/>
      <c r="EL2027" s="56"/>
      <c r="EM2027" s="56"/>
      <c r="EN2027" s="56"/>
      <c r="EO2027" s="56"/>
      <c r="EP2027" s="56"/>
      <c r="EQ2027" s="56"/>
      <c r="ER2027" s="56"/>
      <c r="ES2027" s="56"/>
      <c r="ET2027" s="56"/>
      <c r="EU2027" s="56"/>
      <c r="EV2027" s="56"/>
      <c r="EW2027" s="56"/>
      <c r="EX2027" s="56"/>
      <c r="EY2027" s="56"/>
      <c r="EZ2027" s="56"/>
      <c r="FA2027" s="56"/>
      <c r="FB2027" s="56"/>
      <c r="FC2027" s="56"/>
      <c r="FD2027" s="56"/>
      <c r="FE2027" s="56"/>
      <c r="FF2027" s="56"/>
      <c r="FG2027" s="56"/>
      <c r="FH2027" s="56"/>
      <c r="FI2027" s="56"/>
      <c r="FJ2027" s="56"/>
      <c r="FK2027" s="56"/>
      <c r="FL2027" s="56"/>
      <c r="FM2027" s="56"/>
      <c r="FN2027" s="56"/>
      <c r="FO2027" s="56"/>
      <c r="FP2027" s="56"/>
      <c r="FQ2027" s="56"/>
      <c r="FR2027" s="56"/>
      <c r="FS2027" s="56"/>
      <c r="FT2027" s="56"/>
      <c r="FU2027" s="56"/>
      <c r="FV2027" s="56"/>
      <c r="FW2027" s="56"/>
      <c r="FX2027" s="56"/>
      <c r="FY2027" s="56"/>
      <c r="FZ2027" s="56"/>
      <c r="GA2027" s="56"/>
      <c r="GB2027" s="56"/>
      <c r="GC2027" s="56"/>
      <c r="GD2027" s="56"/>
      <c r="GE2027" s="56"/>
      <c r="GF2027" s="56"/>
    </row>
    <row r="2028" spans="1:48" s="18" customFormat="1" ht="18" customHeight="1">
      <c r="A2028" s="50"/>
      <c r="B2028" s="93" t="s">
        <v>669</v>
      </c>
      <c r="C2028" s="16"/>
      <c r="D2028" s="52"/>
      <c r="E2028" s="52"/>
      <c r="F2028" s="52"/>
      <c r="G2028" s="52"/>
      <c r="H2028" s="52"/>
      <c r="I2028" s="52"/>
      <c r="J2028" s="52"/>
      <c r="K2028" s="52"/>
      <c r="L2028" s="60">
        <f>SUM(L2029:L2034)</f>
        <v>19</v>
      </c>
      <c r="M2028" s="60">
        <f>SUM(M2029:M2034)</f>
        <v>18</v>
      </c>
      <c r="N2028" s="60">
        <f>SUM(N2029:N2034)</f>
        <v>18</v>
      </c>
      <c r="O2028" s="60">
        <f>SUM(O2029:O2034)</f>
        <v>18</v>
      </c>
      <c r="P2028" s="60">
        <f>SUM(P2029:P2034)</f>
        <v>18</v>
      </c>
      <c r="Q2028" s="23"/>
      <c r="R2028" s="23"/>
      <c r="S2028" s="17"/>
      <c r="T2028" s="47"/>
      <c r="U2028" s="47"/>
      <c r="V2028" s="47"/>
      <c r="W2028" s="47"/>
      <c r="X2028" s="47"/>
      <c r="Y2028" s="47"/>
      <c r="Z2028" s="47"/>
      <c r="AA2028" s="47"/>
      <c r="AB2028" s="47"/>
      <c r="AC2028" s="47"/>
      <c r="AD2028" s="47"/>
      <c r="AE2028" s="47"/>
      <c r="AF2028" s="47"/>
      <c r="AG2028" s="47"/>
      <c r="AH2028" s="47"/>
      <c r="AI2028" s="47"/>
      <c r="AJ2028" s="47"/>
      <c r="AK2028" s="47"/>
      <c r="AL2028" s="47"/>
      <c r="AM2028" s="47"/>
      <c r="AN2028" s="47"/>
      <c r="AO2028" s="47"/>
      <c r="AP2028" s="47"/>
      <c r="AQ2028" s="47"/>
      <c r="AR2028" s="47"/>
      <c r="AS2028" s="47"/>
      <c r="AT2028" s="47"/>
      <c r="AU2028" s="47"/>
      <c r="AV2028" s="47"/>
    </row>
    <row r="2029" spans="1:48" s="27" customFormat="1" ht="18" customHeight="1">
      <c r="A2029" s="12"/>
      <c r="B2029" s="105" t="s">
        <v>1318</v>
      </c>
      <c r="C2029" s="15">
        <v>15030121</v>
      </c>
      <c r="D2029" s="40"/>
      <c r="E2029" s="40"/>
      <c r="F2029" s="40"/>
      <c r="G2029" s="40"/>
      <c r="H2029" s="40"/>
      <c r="I2029" s="40"/>
      <c r="J2029" s="40"/>
      <c r="K2029" s="40"/>
      <c r="L2029" s="40">
        <v>5</v>
      </c>
      <c r="M2029" s="40">
        <v>5</v>
      </c>
      <c r="N2029" s="40">
        <v>5</v>
      </c>
      <c r="O2029" s="40">
        <v>5</v>
      </c>
      <c r="P2029" s="40">
        <v>5</v>
      </c>
      <c r="Q2029" s="30"/>
      <c r="R2029" s="30"/>
      <c r="S2029" s="30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</row>
    <row r="2030" spans="1:48" s="27" customFormat="1" ht="18" customHeight="1">
      <c r="A2030" s="12"/>
      <c r="B2030" s="97" t="s">
        <v>599</v>
      </c>
      <c r="C2030" s="15" t="s">
        <v>600</v>
      </c>
      <c r="D2030" s="40"/>
      <c r="E2030" s="40"/>
      <c r="F2030" s="40"/>
      <c r="G2030" s="40"/>
      <c r="H2030" s="40"/>
      <c r="I2030" s="40"/>
      <c r="J2030" s="40"/>
      <c r="K2030" s="40"/>
      <c r="L2030" s="40">
        <v>5</v>
      </c>
      <c r="M2030" s="40">
        <v>5</v>
      </c>
      <c r="N2030" s="40">
        <v>5</v>
      </c>
      <c r="O2030" s="40">
        <v>5</v>
      </c>
      <c r="P2030" s="40">
        <v>5</v>
      </c>
      <c r="Q2030" s="30"/>
      <c r="R2030" s="30"/>
      <c r="S2030" s="30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</row>
    <row r="2031" spans="1:48" s="27" customFormat="1" ht="18" customHeight="1">
      <c r="A2031" s="12"/>
      <c r="B2031" s="97" t="s">
        <v>620</v>
      </c>
      <c r="C2031" s="29" t="s">
        <v>621</v>
      </c>
      <c r="D2031" s="40"/>
      <c r="E2031" s="40"/>
      <c r="F2031" s="40"/>
      <c r="G2031" s="40"/>
      <c r="H2031" s="40"/>
      <c r="I2031" s="40"/>
      <c r="J2031" s="40"/>
      <c r="K2031" s="40"/>
      <c r="L2031" s="40">
        <v>1</v>
      </c>
      <c r="M2031" s="40">
        <v>1</v>
      </c>
      <c r="N2031" s="40">
        <v>1</v>
      </c>
      <c r="O2031" s="40">
        <v>1</v>
      </c>
      <c r="P2031" s="40">
        <v>1</v>
      </c>
      <c r="Q2031" s="30"/>
      <c r="R2031" s="30"/>
      <c r="S2031" s="30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</row>
    <row r="2032" spans="1:48" s="27" customFormat="1" ht="18" customHeight="1">
      <c r="A2032" s="12"/>
      <c r="B2032" s="97" t="s">
        <v>453</v>
      </c>
      <c r="C2032" s="29" t="s">
        <v>454</v>
      </c>
      <c r="D2032" s="40"/>
      <c r="E2032" s="40"/>
      <c r="F2032" s="40"/>
      <c r="G2032" s="40"/>
      <c r="H2032" s="40"/>
      <c r="I2032" s="40"/>
      <c r="J2032" s="40"/>
      <c r="K2032" s="40"/>
      <c r="L2032" s="40">
        <v>5</v>
      </c>
      <c r="M2032" s="40">
        <v>5</v>
      </c>
      <c r="N2032" s="40">
        <v>5</v>
      </c>
      <c r="O2032" s="40">
        <v>5</v>
      </c>
      <c r="P2032" s="40">
        <v>5</v>
      </c>
      <c r="Q2032" s="30"/>
      <c r="R2032" s="30"/>
      <c r="S2032" s="30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</row>
    <row r="2033" spans="1:48" s="27" customFormat="1" ht="18" customHeight="1">
      <c r="A2033" s="12"/>
      <c r="B2033" s="97" t="s">
        <v>1306</v>
      </c>
      <c r="C2033" s="29" t="s">
        <v>1307</v>
      </c>
      <c r="D2033" s="40"/>
      <c r="E2033" s="40"/>
      <c r="F2033" s="40"/>
      <c r="G2033" s="40"/>
      <c r="H2033" s="40"/>
      <c r="I2033" s="40"/>
      <c r="J2033" s="40"/>
      <c r="K2033" s="40"/>
      <c r="L2033" s="40">
        <v>1</v>
      </c>
      <c r="M2033" s="40">
        <v>1</v>
      </c>
      <c r="N2033" s="40">
        <v>1</v>
      </c>
      <c r="O2033" s="40">
        <v>1</v>
      </c>
      <c r="P2033" s="40">
        <v>1</v>
      </c>
      <c r="Q2033" s="30"/>
      <c r="R2033" s="30"/>
      <c r="S2033" s="30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</row>
    <row r="2034" spans="1:48" s="27" customFormat="1" ht="18" customHeight="1">
      <c r="A2034" s="12"/>
      <c r="B2034" s="97" t="s">
        <v>560</v>
      </c>
      <c r="C2034" s="29" t="s">
        <v>1319</v>
      </c>
      <c r="D2034" s="40"/>
      <c r="E2034" s="40"/>
      <c r="F2034" s="40"/>
      <c r="G2034" s="40"/>
      <c r="H2034" s="40"/>
      <c r="I2034" s="40"/>
      <c r="J2034" s="40"/>
      <c r="K2034" s="40"/>
      <c r="L2034" s="40">
        <v>2</v>
      </c>
      <c r="M2034" s="40">
        <v>1</v>
      </c>
      <c r="N2034" s="40">
        <v>1</v>
      </c>
      <c r="O2034" s="40">
        <v>1</v>
      </c>
      <c r="P2034" s="40">
        <v>1</v>
      </c>
      <c r="Q2034" s="30"/>
      <c r="R2034" s="30"/>
      <c r="S2034" s="30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</row>
    <row r="2035" spans="1:48" s="18" customFormat="1" ht="16.5" customHeight="1">
      <c r="A2035" s="50"/>
      <c r="B2035" s="93" t="s">
        <v>670</v>
      </c>
      <c r="C2035" s="16"/>
      <c r="D2035" s="52"/>
      <c r="E2035" s="52"/>
      <c r="F2035" s="52"/>
      <c r="G2035" s="52"/>
      <c r="H2035" s="52"/>
      <c r="I2035" s="52"/>
      <c r="J2035" s="52"/>
      <c r="K2035" s="52"/>
      <c r="L2035" s="60">
        <f>SUM(L2036:L2038)</f>
        <v>10</v>
      </c>
      <c r="M2035" s="60">
        <f>SUM(M2036:M2038)</f>
        <v>10</v>
      </c>
      <c r="N2035" s="60">
        <f>SUM(N2036:N2038)</f>
        <v>10</v>
      </c>
      <c r="O2035" s="60">
        <f>SUM(O2036:O2038)</f>
        <v>10</v>
      </c>
      <c r="P2035" s="60">
        <f>SUM(P2036:P2038)</f>
        <v>10</v>
      </c>
      <c r="Q2035" s="23"/>
      <c r="R2035" s="23"/>
      <c r="S2035" s="17"/>
      <c r="T2035" s="47"/>
      <c r="U2035" s="47"/>
      <c r="V2035" s="47"/>
      <c r="W2035" s="47"/>
      <c r="X2035" s="47"/>
      <c r="Y2035" s="47"/>
      <c r="Z2035" s="47"/>
      <c r="AA2035" s="47"/>
      <c r="AB2035" s="47"/>
      <c r="AC2035" s="47"/>
      <c r="AD2035" s="47"/>
      <c r="AE2035" s="47"/>
      <c r="AF2035" s="47"/>
      <c r="AG2035" s="47"/>
      <c r="AH2035" s="47"/>
      <c r="AI2035" s="47"/>
      <c r="AJ2035" s="47"/>
      <c r="AK2035" s="47"/>
      <c r="AL2035" s="47"/>
      <c r="AM2035" s="47"/>
      <c r="AN2035" s="47"/>
      <c r="AO2035" s="47"/>
      <c r="AP2035" s="47"/>
      <c r="AQ2035" s="47"/>
      <c r="AR2035" s="47"/>
      <c r="AS2035" s="47"/>
      <c r="AT2035" s="47"/>
      <c r="AU2035" s="47"/>
      <c r="AV2035" s="47"/>
    </row>
    <row r="2036" spans="1:48" s="27" customFormat="1" ht="15" customHeight="1">
      <c r="A2036" s="12"/>
      <c r="B2036" s="111" t="s">
        <v>422</v>
      </c>
      <c r="C2036" s="15" t="s">
        <v>423</v>
      </c>
      <c r="D2036" s="40"/>
      <c r="E2036" s="40"/>
      <c r="F2036" s="40"/>
      <c r="G2036" s="40"/>
      <c r="H2036" s="40"/>
      <c r="I2036" s="40"/>
      <c r="J2036" s="40"/>
      <c r="K2036" s="40"/>
      <c r="L2036" s="40">
        <v>7</v>
      </c>
      <c r="M2036" s="40">
        <v>7</v>
      </c>
      <c r="N2036" s="40">
        <v>7</v>
      </c>
      <c r="O2036" s="40">
        <v>7</v>
      </c>
      <c r="P2036" s="40">
        <v>7</v>
      </c>
      <c r="Q2036" s="30"/>
      <c r="R2036" s="30"/>
      <c r="S2036" s="30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</row>
    <row r="2037" spans="1:48" s="27" customFormat="1" ht="29.25" customHeight="1">
      <c r="A2037" s="12"/>
      <c r="B2037" s="97" t="s">
        <v>280</v>
      </c>
      <c r="C2037" s="66" t="s">
        <v>281</v>
      </c>
      <c r="D2037" s="40"/>
      <c r="E2037" s="40"/>
      <c r="F2037" s="40"/>
      <c r="G2037" s="40"/>
      <c r="H2037" s="40"/>
      <c r="I2037" s="40"/>
      <c r="J2037" s="40"/>
      <c r="K2037" s="40"/>
      <c r="L2037" s="40">
        <v>2</v>
      </c>
      <c r="M2037" s="40">
        <v>2</v>
      </c>
      <c r="N2037" s="40">
        <v>2</v>
      </c>
      <c r="O2037" s="40">
        <v>2</v>
      </c>
      <c r="P2037" s="40">
        <v>2</v>
      </c>
      <c r="Q2037" s="30"/>
      <c r="R2037" s="30"/>
      <c r="S2037" s="30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</row>
    <row r="2038" spans="1:48" s="27" customFormat="1" ht="15" customHeight="1">
      <c r="A2038" s="12"/>
      <c r="B2038" s="97" t="s">
        <v>561</v>
      </c>
      <c r="C2038" s="66" t="s">
        <v>804</v>
      </c>
      <c r="D2038" s="40"/>
      <c r="E2038" s="40"/>
      <c r="F2038" s="40"/>
      <c r="G2038" s="40"/>
      <c r="H2038" s="40"/>
      <c r="I2038" s="40"/>
      <c r="J2038" s="40"/>
      <c r="K2038" s="40"/>
      <c r="L2038" s="40">
        <v>1</v>
      </c>
      <c r="M2038" s="40">
        <v>1</v>
      </c>
      <c r="N2038" s="40">
        <v>1</v>
      </c>
      <c r="O2038" s="40">
        <v>1</v>
      </c>
      <c r="P2038" s="40">
        <v>1</v>
      </c>
      <c r="Q2038" s="30"/>
      <c r="R2038" s="30"/>
      <c r="S2038" s="30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</row>
    <row r="2039" spans="1:19" ht="13.5" customHeight="1">
      <c r="A2039" s="400" t="s">
        <v>909</v>
      </c>
      <c r="B2039" s="400"/>
      <c r="C2039" s="400"/>
      <c r="D2039" s="400"/>
      <c r="E2039" s="400"/>
      <c r="F2039" s="400"/>
      <c r="G2039" s="400"/>
      <c r="H2039" s="400"/>
      <c r="I2039" s="400"/>
      <c r="J2039" s="400"/>
      <c r="K2039" s="400"/>
      <c r="L2039" s="400"/>
      <c r="M2039" s="400"/>
      <c r="N2039" s="400"/>
      <c r="O2039" s="400"/>
      <c r="P2039" s="400"/>
      <c r="Q2039" s="21"/>
      <c r="R2039" s="21"/>
      <c r="S2039" s="8"/>
    </row>
    <row r="2040" spans="1:188" s="57" customFormat="1" ht="18" customHeight="1">
      <c r="A2040" s="13">
        <v>36</v>
      </c>
      <c r="B2040" s="92" t="s">
        <v>960</v>
      </c>
      <c r="C2040" s="45"/>
      <c r="D2040" s="44">
        <v>26</v>
      </c>
      <c r="E2040" s="44">
        <v>6</v>
      </c>
      <c r="F2040" s="44"/>
      <c r="G2040" s="44"/>
      <c r="H2040" s="44"/>
      <c r="I2040" s="44"/>
      <c r="J2040" s="44"/>
      <c r="K2040" s="44"/>
      <c r="L2040" s="44">
        <f>L2041</f>
        <v>2</v>
      </c>
      <c r="M2040" s="44">
        <v>3</v>
      </c>
      <c r="N2040" s="44">
        <f>N2041</f>
        <v>2</v>
      </c>
      <c r="O2040" s="44">
        <v>3</v>
      </c>
      <c r="P2040" s="44">
        <v>3</v>
      </c>
      <c r="Q2040" s="54" t="s">
        <v>649</v>
      </c>
      <c r="R2040" s="54">
        <v>12</v>
      </c>
      <c r="S2040" s="55" t="s">
        <v>541</v>
      </c>
      <c r="T2040" s="56"/>
      <c r="U2040" s="56"/>
      <c r="V2040" s="56"/>
      <c r="W2040" s="56"/>
      <c r="X2040" s="56"/>
      <c r="Y2040" s="56"/>
      <c r="Z2040" s="56"/>
      <c r="AA2040" s="56"/>
      <c r="AB2040" s="56"/>
      <c r="AC2040" s="56"/>
      <c r="AD2040" s="56"/>
      <c r="AE2040" s="56"/>
      <c r="AF2040" s="56"/>
      <c r="AG2040" s="56"/>
      <c r="AH2040" s="56"/>
      <c r="AI2040" s="56"/>
      <c r="AJ2040" s="56"/>
      <c r="AK2040" s="56"/>
      <c r="AL2040" s="56"/>
      <c r="AM2040" s="56"/>
      <c r="AN2040" s="56"/>
      <c r="AO2040" s="56"/>
      <c r="AP2040" s="56"/>
      <c r="AQ2040" s="56"/>
      <c r="AR2040" s="56"/>
      <c r="AS2040" s="56"/>
      <c r="AT2040" s="56"/>
      <c r="AU2040" s="56"/>
      <c r="AV2040" s="56"/>
      <c r="AW2040" s="56"/>
      <c r="AX2040" s="56"/>
      <c r="AY2040" s="56"/>
      <c r="AZ2040" s="56"/>
      <c r="BA2040" s="56"/>
      <c r="BB2040" s="56"/>
      <c r="BC2040" s="56"/>
      <c r="BD2040" s="56"/>
      <c r="BE2040" s="56"/>
      <c r="BF2040" s="56"/>
      <c r="BG2040" s="56"/>
      <c r="BH2040" s="56"/>
      <c r="BI2040" s="56"/>
      <c r="BJ2040" s="56"/>
      <c r="BK2040" s="56"/>
      <c r="BL2040" s="56"/>
      <c r="BM2040" s="56"/>
      <c r="BN2040" s="56"/>
      <c r="BO2040" s="56"/>
      <c r="BP2040" s="56"/>
      <c r="BQ2040" s="56"/>
      <c r="BR2040" s="56"/>
      <c r="BS2040" s="56"/>
      <c r="BT2040" s="56"/>
      <c r="BU2040" s="56"/>
      <c r="BV2040" s="56"/>
      <c r="BW2040" s="56"/>
      <c r="BX2040" s="56"/>
      <c r="BY2040" s="56"/>
      <c r="BZ2040" s="56"/>
      <c r="CA2040" s="56"/>
      <c r="CB2040" s="56"/>
      <c r="CC2040" s="56"/>
      <c r="CD2040" s="56"/>
      <c r="CE2040" s="56"/>
      <c r="CF2040" s="56"/>
      <c r="CG2040" s="56"/>
      <c r="CH2040" s="56"/>
      <c r="CI2040" s="56"/>
      <c r="CJ2040" s="56"/>
      <c r="CK2040" s="56"/>
      <c r="CL2040" s="56"/>
      <c r="CM2040" s="56"/>
      <c r="CN2040" s="56"/>
      <c r="CO2040" s="56"/>
      <c r="CP2040" s="56"/>
      <c r="CQ2040" s="56"/>
      <c r="CR2040" s="56"/>
      <c r="CS2040" s="56"/>
      <c r="CT2040" s="56"/>
      <c r="CU2040" s="56"/>
      <c r="CV2040" s="56"/>
      <c r="CW2040" s="56"/>
      <c r="CX2040" s="56"/>
      <c r="CY2040" s="56"/>
      <c r="CZ2040" s="56"/>
      <c r="DA2040" s="56"/>
      <c r="DB2040" s="56"/>
      <c r="DC2040" s="56"/>
      <c r="DD2040" s="56"/>
      <c r="DE2040" s="56"/>
      <c r="DF2040" s="56"/>
      <c r="DG2040" s="56"/>
      <c r="DH2040" s="56"/>
      <c r="DI2040" s="56"/>
      <c r="DJ2040" s="56"/>
      <c r="DK2040" s="56"/>
      <c r="DL2040" s="56"/>
      <c r="DM2040" s="56"/>
      <c r="DN2040" s="56"/>
      <c r="DO2040" s="56"/>
      <c r="DP2040" s="56"/>
      <c r="DQ2040" s="56"/>
      <c r="DR2040" s="56"/>
      <c r="DS2040" s="56"/>
      <c r="DT2040" s="56"/>
      <c r="DU2040" s="56"/>
      <c r="DV2040" s="56"/>
      <c r="DW2040" s="56"/>
      <c r="DX2040" s="56"/>
      <c r="DY2040" s="56"/>
      <c r="DZ2040" s="56"/>
      <c r="EA2040" s="56"/>
      <c r="EB2040" s="56"/>
      <c r="EC2040" s="56"/>
      <c r="ED2040" s="56"/>
      <c r="EE2040" s="56"/>
      <c r="EF2040" s="56"/>
      <c r="EG2040" s="56"/>
      <c r="EH2040" s="56"/>
      <c r="EI2040" s="56"/>
      <c r="EJ2040" s="56"/>
      <c r="EK2040" s="56"/>
      <c r="EL2040" s="56"/>
      <c r="EM2040" s="56"/>
      <c r="EN2040" s="56"/>
      <c r="EO2040" s="56"/>
      <c r="EP2040" s="56"/>
      <c r="EQ2040" s="56"/>
      <c r="ER2040" s="56"/>
      <c r="ES2040" s="56"/>
      <c r="ET2040" s="56"/>
      <c r="EU2040" s="56"/>
      <c r="EV2040" s="56"/>
      <c r="EW2040" s="56"/>
      <c r="EX2040" s="56"/>
      <c r="EY2040" s="56"/>
      <c r="EZ2040" s="56"/>
      <c r="FA2040" s="56"/>
      <c r="FB2040" s="56"/>
      <c r="FC2040" s="56"/>
      <c r="FD2040" s="56"/>
      <c r="FE2040" s="56"/>
      <c r="FF2040" s="56"/>
      <c r="FG2040" s="56"/>
      <c r="FH2040" s="56"/>
      <c r="FI2040" s="56"/>
      <c r="FJ2040" s="56"/>
      <c r="FK2040" s="56"/>
      <c r="FL2040" s="56"/>
      <c r="FM2040" s="56"/>
      <c r="FN2040" s="56"/>
      <c r="FO2040" s="56"/>
      <c r="FP2040" s="56"/>
      <c r="FQ2040" s="56"/>
      <c r="FR2040" s="56"/>
      <c r="FS2040" s="56"/>
      <c r="FT2040" s="56"/>
      <c r="FU2040" s="56"/>
      <c r="FV2040" s="56"/>
      <c r="FW2040" s="56"/>
      <c r="FX2040" s="56"/>
      <c r="FY2040" s="56"/>
      <c r="FZ2040" s="56"/>
      <c r="GA2040" s="56"/>
      <c r="GB2040" s="56"/>
      <c r="GC2040" s="56"/>
      <c r="GD2040" s="56"/>
      <c r="GE2040" s="56"/>
      <c r="GF2040" s="56"/>
    </row>
    <row r="2041" spans="1:48" s="18" customFormat="1" ht="18" customHeight="1">
      <c r="A2041" s="50"/>
      <c r="B2041" s="93" t="s">
        <v>669</v>
      </c>
      <c r="C2041" s="16"/>
      <c r="D2041" s="52"/>
      <c r="E2041" s="52"/>
      <c r="F2041" s="52"/>
      <c r="G2041" s="52"/>
      <c r="H2041" s="52"/>
      <c r="I2041" s="52"/>
      <c r="J2041" s="52"/>
      <c r="K2041" s="52"/>
      <c r="L2041" s="60">
        <f>L2042</f>
        <v>2</v>
      </c>
      <c r="M2041" s="60">
        <f>M2042</f>
        <v>2</v>
      </c>
      <c r="N2041" s="60">
        <f>N2042</f>
        <v>2</v>
      </c>
      <c r="O2041" s="60">
        <f>O2042</f>
        <v>2</v>
      </c>
      <c r="P2041" s="60">
        <f>P2042</f>
        <v>2</v>
      </c>
      <c r="Q2041" s="23"/>
      <c r="R2041" s="23"/>
      <c r="S2041" s="17"/>
      <c r="T2041" s="47"/>
      <c r="U2041" s="47"/>
      <c r="V2041" s="47"/>
      <c r="W2041" s="47"/>
      <c r="X2041" s="47"/>
      <c r="Y2041" s="47"/>
      <c r="Z2041" s="47"/>
      <c r="AA2041" s="47"/>
      <c r="AB2041" s="47"/>
      <c r="AC2041" s="47"/>
      <c r="AD2041" s="47"/>
      <c r="AE2041" s="47"/>
      <c r="AF2041" s="47"/>
      <c r="AG2041" s="47"/>
      <c r="AH2041" s="47"/>
      <c r="AI2041" s="47"/>
      <c r="AJ2041" s="47"/>
      <c r="AK2041" s="47"/>
      <c r="AL2041" s="47"/>
      <c r="AM2041" s="47"/>
      <c r="AN2041" s="47"/>
      <c r="AO2041" s="47"/>
      <c r="AP2041" s="47"/>
      <c r="AQ2041" s="47"/>
      <c r="AR2041" s="47"/>
      <c r="AS2041" s="47"/>
      <c r="AT2041" s="47"/>
      <c r="AU2041" s="47"/>
      <c r="AV2041" s="47"/>
    </row>
    <row r="2042" spans="1:48" s="27" customFormat="1" ht="18" customHeight="1">
      <c r="A2042" s="12"/>
      <c r="B2042" s="97" t="s">
        <v>1316</v>
      </c>
      <c r="C2042" s="15" t="s">
        <v>1317</v>
      </c>
      <c r="D2042" s="40"/>
      <c r="E2042" s="40"/>
      <c r="F2042" s="40"/>
      <c r="G2042" s="40"/>
      <c r="H2042" s="40"/>
      <c r="I2042" s="40"/>
      <c r="J2042" s="40"/>
      <c r="K2042" s="40"/>
      <c r="L2042" s="40">
        <v>2</v>
      </c>
      <c r="M2042" s="40">
        <v>2</v>
      </c>
      <c r="N2042" s="40">
        <v>2</v>
      </c>
      <c r="O2042" s="40">
        <v>2</v>
      </c>
      <c r="P2042" s="40">
        <v>2</v>
      </c>
      <c r="Q2042" s="30"/>
      <c r="R2042" s="30"/>
      <c r="S2042" s="30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</row>
    <row r="2043" spans="1:48" s="18" customFormat="1" ht="18" customHeight="1">
      <c r="A2043" s="50"/>
      <c r="B2043" s="93" t="s">
        <v>670</v>
      </c>
      <c r="C2043" s="16"/>
      <c r="D2043" s="52"/>
      <c r="E2043" s="51"/>
      <c r="F2043" s="52"/>
      <c r="G2043" s="52"/>
      <c r="H2043" s="52"/>
      <c r="I2043" s="52"/>
      <c r="J2043" s="52"/>
      <c r="K2043" s="52"/>
      <c r="L2043" s="60" t="s">
        <v>556</v>
      </c>
      <c r="M2043" s="60">
        <f>SUM(M2044:M2045)</f>
        <v>1</v>
      </c>
      <c r="N2043" s="60" t="s">
        <v>556</v>
      </c>
      <c r="O2043" s="60">
        <f>SUM(O2044:O2045)</f>
        <v>1</v>
      </c>
      <c r="P2043" s="60">
        <f>SUM(P2044:P2045)</f>
        <v>1</v>
      </c>
      <c r="Q2043" s="23"/>
      <c r="R2043" s="23"/>
      <c r="S2043" s="17"/>
      <c r="T2043" s="47"/>
      <c r="U2043" s="47"/>
      <c r="V2043" s="47"/>
      <c r="W2043" s="47"/>
      <c r="X2043" s="47"/>
      <c r="Y2043" s="47"/>
      <c r="Z2043" s="47"/>
      <c r="AA2043" s="47"/>
      <c r="AB2043" s="47"/>
      <c r="AC2043" s="47"/>
      <c r="AD2043" s="47"/>
      <c r="AE2043" s="47"/>
      <c r="AF2043" s="47"/>
      <c r="AG2043" s="47"/>
      <c r="AH2043" s="47"/>
      <c r="AI2043" s="47"/>
      <c r="AJ2043" s="47"/>
      <c r="AK2043" s="47"/>
      <c r="AL2043" s="47"/>
      <c r="AM2043" s="47"/>
      <c r="AN2043" s="47"/>
      <c r="AO2043" s="47"/>
      <c r="AP2043" s="47"/>
      <c r="AQ2043" s="47"/>
      <c r="AR2043" s="47"/>
      <c r="AS2043" s="47"/>
      <c r="AT2043" s="47"/>
      <c r="AU2043" s="47"/>
      <c r="AV2043" s="47"/>
    </row>
    <row r="2044" spans="1:48" s="27" customFormat="1" ht="18" customHeight="1">
      <c r="A2044" s="12"/>
      <c r="B2044" s="97" t="s">
        <v>561</v>
      </c>
      <c r="C2044" s="29" t="s">
        <v>1053</v>
      </c>
      <c r="D2044" s="51"/>
      <c r="E2044" s="51"/>
      <c r="F2044" s="51">
        <v>2</v>
      </c>
      <c r="G2044" s="51">
        <v>2</v>
      </c>
      <c r="H2044" s="51">
        <v>2</v>
      </c>
      <c r="I2044" s="51">
        <v>2</v>
      </c>
      <c r="J2044" s="51"/>
      <c r="K2044" s="51">
        <v>2</v>
      </c>
      <c r="L2044" s="40" t="s">
        <v>556</v>
      </c>
      <c r="M2044" s="40" t="s">
        <v>556</v>
      </c>
      <c r="N2044" s="40" t="s">
        <v>556</v>
      </c>
      <c r="O2044" s="40">
        <v>1</v>
      </c>
      <c r="P2044" s="40">
        <v>1</v>
      </c>
      <c r="Q2044" s="30"/>
      <c r="R2044" s="30"/>
      <c r="S2044" s="30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</row>
    <row r="2045" spans="1:48" s="27" customFormat="1" ht="18" customHeight="1">
      <c r="A2045" s="12"/>
      <c r="B2045" s="111" t="s">
        <v>422</v>
      </c>
      <c r="C2045" s="15" t="s">
        <v>423</v>
      </c>
      <c r="D2045" s="40"/>
      <c r="E2045" s="40"/>
      <c r="F2045" s="40"/>
      <c r="G2045" s="40"/>
      <c r="H2045" s="40"/>
      <c r="I2045" s="40"/>
      <c r="J2045" s="40"/>
      <c r="K2045" s="40"/>
      <c r="L2045" s="40" t="s">
        <v>556</v>
      </c>
      <c r="M2045" s="40">
        <v>1</v>
      </c>
      <c r="N2045" s="40" t="s">
        <v>556</v>
      </c>
      <c r="O2045" s="40" t="s">
        <v>556</v>
      </c>
      <c r="P2045" s="40" t="s">
        <v>556</v>
      </c>
      <c r="Q2045" s="30"/>
      <c r="R2045" s="30"/>
      <c r="S2045" s="30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</row>
    <row r="2046" spans="1:19" ht="19.5" customHeight="1">
      <c r="A2046" s="399" t="s">
        <v>653</v>
      </c>
      <c r="B2046" s="399"/>
      <c r="C2046" s="399"/>
      <c r="D2046" s="399"/>
      <c r="E2046" s="399"/>
      <c r="F2046" s="399"/>
      <c r="G2046" s="399"/>
      <c r="H2046" s="399"/>
      <c r="I2046" s="399"/>
      <c r="J2046" s="399"/>
      <c r="K2046" s="399"/>
      <c r="L2046" s="399"/>
      <c r="M2046" s="399"/>
      <c r="N2046" s="399"/>
      <c r="O2046" s="399"/>
      <c r="P2046" s="399"/>
      <c r="Q2046" s="20"/>
      <c r="R2046" s="20"/>
      <c r="S2046" s="7"/>
    </row>
    <row r="2047" spans="1:19" ht="19.5" customHeight="1">
      <c r="A2047" s="400" t="s">
        <v>909</v>
      </c>
      <c r="B2047" s="400"/>
      <c r="C2047" s="400"/>
      <c r="D2047" s="400"/>
      <c r="E2047" s="400"/>
      <c r="F2047" s="400"/>
      <c r="G2047" s="400"/>
      <c r="H2047" s="400"/>
      <c r="I2047" s="400"/>
      <c r="J2047" s="400"/>
      <c r="K2047" s="400"/>
      <c r="L2047" s="400"/>
      <c r="M2047" s="400"/>
      <c r="N2047" s="400"/>
      <c r="O2047" s="400"/>
      <c r="P2047" s="400"/>
      <c r="Q2047" s="21"/>
      <c r="R2047" s="21"/>
      <c r="S2047" s="8"/>
    </row>
    <row r="2048" spans="1:188" s="57" customFormat="1" ht="19.5" customHeight="1">
      <c r="A2048" s="13">
        <v>37</v>
      </c>
      <c r="B2048" s="92" t="s">
        <v>316</v>
      </c>
      <c r="C2048" s="45"/>
      <c r="D2048" s="75">
        <v>32</v>
      </c>
      <c r="E2048" s="75"/>
      <c r="F2048" s="75">
        <v>114</v>
      </c>
      <c r="G2048" s="75">
        <v>115</v>
      </c>
      <c r="H2048" s="75">
        <v>117</v>
      </c>
      <c r="I2048" s="75">
        <v>118</v>
      </c>
      <c r="J2048" s="75"/>
      <c r="K2048" s="75">
        <v>120</v>
      </c>
      <c r="L2048" s="44">
        <f>L2049+L2052</f>
        <v>5</v>
      </c>
      <c r="M2048" s="44">
        <f>M2049+M2052</f>
        <v>5</v>
      </c>
      <c r="N2048" s="44">
        <f>N2049+N2052</f>
        <v>4</v>
      </c>
      <c r="O2048" s="44">
        <v>3</v>
      </c>
      <c r="P2048" s="44">
        <v>3</v>
      </c>
      <c r="Q2048" s="54" t="s">
        <v>649</v>
      </c>
      <c r="R2048" s="54">
        <v>14</v>
      </c>
      <c r="S2048" s="55" t="s">
        <v>549</v>
      </c>
      <c r="T2048" s="56"/>
      <c r="U2048" s="56"/>
      <c r="V2048" s="56"/>
      <c r="W2048" s="56"/>
      <c r="X2048" s="56"/>
      <c r="Y2048" s="56"/>
      <c r="Z2048" s="56"/>
      <c r="AA2048" s="56"/>
      <c r="AB2048" s="56"/>
      <c r="AC2048" s="56"/>
      <c r="AD2048" s="56"/>
      <c r="AE2048" s="56"/>
      <c r="AF2048" s="56"/>
      <c r="AG2048" s="56"/>
      <c r="AH2048" s="56"/>
      <c r="AI2048" s="56"/>
      <c r="AJ2048" s="56"/>
      <c r="AK2048" s="56"/>
      <c r="AL2048" s="56"/>
      <c r="AM2048" s="56"/>
      <c r="AN2048" s="56"/>
      <c r="AO2048" s="56"/>
      <c r="AP2048" s="56"/>
      <c r="AQ2048" s="56"/>
      <c r="AR2048" s="56"/>
      <c r="AS2048" s="56"/>
      <c r="AT2048" s="56"/>
      <c r="AU2048" s="56"/>
      <c r="AV2048" s="56"/>
      <c r="AW2048" s="56"/>
      <c r="AX2048" s="56"/>
      <c r="AY2048" s="56"/>
      <c r="AZ2048" s="56"/>
      <c r="BA2048" s="56"/>
      <c r="BB2048" s="56"/>
      <c r="BC2048" s="56"/>
      <c r="BD2048" s="56"/>
      <c r="BE2048" s="56"/>
      <c r="BF2048" s="56"/>
      <c r="BG2048" s="56"/>
      <c r="BH2048" s="56"/>
      <c r="BI2048" s="56"/>
      <c r="BJ2048" s="56"/>
      <c r="BK2048" s="56"/>
      <c r="BL2048" s="56"/>
      <c r="BM2048" s="56"/>
      <c r="BN2048" s="56"/>
      <c r="BO2048" s="56"/>
      <c r="BP2048" s="56"/>
      <c r="BQ2048" s="56"/>
      <c r="BR2048" s="56"/>
      <c r="BS2048" s="56"/>
      <c r="BT2048" s="56"/>
      <c r="BU2048" s="56"/>
      <c r="BV2048" s="56"/>
      <c r="BW2048" s="56"/>
      <c r="BX2048" s="56"/>
      <c r="BY2048" s="56"/>
      <c r="BZ2048" s="56"/>
      <c r="CA2048" s="56"/>
      <c r="CB2048" s="56"/>
      <c r="CC2048" s="56"/>
      <c r="CD2048" s="56"/>
      <c r="CE2048" s="56"/>
      <c r="CF2048" s="56"/>
      <c r="CG2048" s="56"/>
      <c r="CH2048" s="56"/>
      <c r="CI2048" s="56"/>
      <c r="CJ2048" s="56"/>
      <c r="CK2048" s="56"/>
      <c r="CL2048" s="56"/>
      <c r="CM2048" s="56"/>
      <c r="CN2048" s="56"/>
      <c r="CO2048" s="56"/>
      <c r="CP2048" s="56"/>
      <c r="CQ2048" s="56"/>
      <c r="CR2048" s="56"/>
      <c r="CS2048" s="56"/>
      <c r="CT2048" s="56"/>
      <c r="CU2048" s="56"/>
      <c r="CV2048" s="56"/>
      <c r="CW2048" s="56"/>
      <c r="CX2048" s="56"/>
      <c r="CY2048" s="56"/>
      <c r="CZ2048" s="56"/>
      <c r="DA2048" s="56"/>
      <c r="DB2048" s="56"/>
      <c r="DC2048" s="56"/>
      <c r="DD2048" s="56"/>
      <c r="DE2048" s="56"/>
      <c r="DF2048" s="56"/>
      <c r="DG2048" s="56"/>
      <c r="DH2048" s="56"/>
      <c r="DI2048" s="56"/>
      <c r="DJ2048" s="56"/>
      <c r="DK2048" s="56"/>
      <c r="DL2048" s="56"/>
      <c r="DM2048" s="56"/>
      <c r="DN2048" s="56"/>
      <c r="DO2048" s="56"/>
      <c r="DP2048" s="56"/>
      <c r="DQ2048" s="56"/>
      <c r="DR2048" s="56"/>
      <c r="DS2048" s="56"/>
      <c r="DT2048" s="56"/>
      <c r="DU2048" s="56"/>
      <c r="DV2048" s="56"/>
      <c r="DW2048" s="56"/>
      <c r="DX2048" s="56"/>
      <c r="DY2048" s="56"/>
      <c r="DZ2048" s="56"/>
      <c r="EA2048" s="56"/>
      <c r="EB2048" s="56"/>
      <c r="EC2048" s="56"/>
      <c r="ED2048" s="56"/>
      <c r="EE2048" s="56"/>
      <c r="EF2048" s="56"/>
      <c r="EG2048" s="56"/>
      <c r="EH2048" s="56"/>
      <c r="EI2048" s="56"/>
      <c r="EJ2048" s="56"/>
      <c r="EK2048" s="56"/>
      <c r="EL2048" s="56"/>
      <c r="EM2048" s="56"/>
      <c r="EN2048" s="56"/>
      <c r="EO2048" s="56"/>
      <c r="EP2048" s="56"/>
      <c r="EQ2048" s="56"/>
      <c r="ER2048" s="56"/>
      <c r="ES2048" s="56"/>
      <c r="ET2048" s="56"/>
      <c r="EU2048" s="56"/>
      <c r="EV2048" s="56"/>
      <c r="EW2048" s="56"/>
      <c r="EX2048" s="56"/>
      <c r="EY2048" s="56"/>
      <c r="EZ2048" s="56"/>
      <c r="FA2048" s="56"/>
      <c r="FB2048" s="56"/>
      <c r="FC2048" s="56"/>
      <c r="FD2048" s="56"/>
      <c r="FE2048" s="56"/>
      <c r="FF2048" s="56"/>
      <c r="FG2048" s="56"/>
      <c r="FH2048" s="56"/>
      <c r="FI2048" s="56"/>
      <c r="FJ2048" s="56"/>
      <c r="FK2048" s="56"/>
      <c r="FL2048" s="56"/>
      <c r="FM2048" s="56"/>
      <c r="FN2048" s="56"/>
      <c r="FO2048" s="56"/>
      <c r="FP2048" s="56"/>
      <c r="FQ2048" s="56"/>
      <c r="FR2048" s="56"/>
      <c r="FS2048" s="56"/>
      <c r="FT2048" s="56"/>
      <c r="FU2048" s="56"/>
      <c r="FV2048" s="56"/>
      <c r="FW2048" s="56"/>
      <c r="FX2048" s="56"/>
      <c r="FY2048" s="56"/>
      <c r="FZ2048" s="56"/>
      <c r="GA2048" s="56"/>
      <c r="GB2048" s="56"/>
      <c r="GC2048" s="56"/>
      <c r="GD2048" s="56"/>
      <c r="GE2048" s="56"/>
      <c r="GF2048" s="56"/>
    </row>
    <row r="2049" spans="1:48" s="18" customFormat="1" ht="15.75" customHeight="1">
      <c r="A2049" s="50"/>
      <c r="B2049" s="93" t="s">
        <v>669</v>
      </c>
      <c r="C2049" s="16"/>
      <c r="D2049" s="52"/>
      <c r="E2049" s="52"/>
      <c r="F2049" s="52"/>
      <c r="G2049" s="52"/>
      <c r="H2049" s="52"/>
      <c r="I2049" s="52"/>
      <c r="J2049" s="52"/>
      <c r="K2049" s="52"/>
      <c r="L2049" s="60">
        <f>SUM(L2050:L2051)</f>
        <v>4</v>
      </c>
      <c r="M2049" s="60">
        <f>SUM(M2050:M2051)</f>
        <v>3</v>
      </c>
      <c r="N2049" s="60">
        <f>SUM(N2050:N2051)</f>
        <v>2</v>
      </c>
      <c r="O2049" s="60">
        <f>SUM(O2050:O2051)</f>
        <v>3</v>
      </c>
      <c r="P2049" s="60">
        <f>SUM(P2050:P2051)</f>
        <v>3</v>
      </c>
      <c r="Q2049" s="23"/>
      <c r="R2049" s="23"/>
      <c r="S2049" s="17"/>
      <c r="T2049" s="47"/>
      <c r="U2049" s="47"/>
      <c r="V2049" s="47"/>
      <c r="W2049" s="47"/>
      <c r="X2049" s="47"/>
      <c r="Y2049" s="47"/>
      <c r="Z2049" s="47"/>
      <c r="AA2049" s="47"/>
      <c r="AB2049" s="47"/>
      <c r="AC2049" s="47"/>
      <c r="AD2049" s="47"/>
      <c r="AE2049" s="47"/>
      <c r="AF2049" s="47"/>
      <c r="AG2049" s="47"/>
      <c r="AH2049" s="47"/>
      <c r="AI2049" s="47"/>
      <c r="AJ2049" s="47"/>
      <c r="AK2049" s="47"/>
      <c r="AL2049" s="47"/>
      <c r="AM2049" s="47"/>
      <c r="AN2049" s="47"/>
      <c r="AO2049" s="47"/>
      <c r="AP2049" s="47"/>
      <c r="AQ2049" s="47"/>
      <c r="AR2049" s="47"/>
      <c r="AS2049" s="47"/>
      <c r="AT2049" s="47"/>
      <c r="AU2049" s="47"/>
      <c r="AV2049" s="47"/>
    </row>
    <row r="2050" spans="1:48" s="27" customFormat="1" ht="15.75" customHeight="1">
      <c r="A2050" s="12"/>
      <c r="B2050" s="105" t="s">
        <v>1318</v>
      </c>
      <c r="C2050" s="15">
        <v>15030121</v>
      </c>
      <c r="D2050" s="51"/>
      <c r="E2050" s="51"/>
      <c r="F2050" s="51"/>
      <c r="G2050" s="51"/>
      <c r="H2050" s="51"/>
      <c r="I2050" s="51"/>
      <c r="J2050" s="51"/>
      <c r="K2050" s="51"/>
      <c r="L2050" s="40">
        <v>3</v>
      </c>
      <c r="M2050" s="40">
        <v>2</v>
      </c>
      <c r="N2050" s="40">
        <v>2</v>
      </c>
      <c r="O2050" s="40">
        <v>2</v>
      </c>
      <c r="P2050" s="40">
        <v>2</v>
      </c>
      <c r="Q2050" s="30"/>
      <c r="R2050" s="30"/>
      <c r="S2050" s="30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</row>
    <row r="2051" spans="1:48" s="27" customFormat="1" ht="15.75" customHeight="1">
      <c r="A2051" s="12"/>
      <c r="B2051" s="97" t="s">
        <v>784</v>
      </c>
      <c r="C2051" s="15" t="s">
        <v>785</v>
      </c>
      <c r="D2051" s="51"/>
      <c r="E2051" s="51"/>
      <c r="F2051" s="51"/>
      <c r="G2051" s="51"/>
      <c r="H2051" s="51"/>
      <c r="I2051" s="51"/>
      <c r="J2051" s="51"/>
      <c r="K2051" s="51"/>
      <c r="L2051" s="40">
        <v>1</v>
      </c>
      <c r="M2051" s="40">
        <v>1</v>
      </c>
      <c r="N2051" s="40" t="s">
        <v>556</v>
      </c>
      <c r="O2051" s="40">
        <v>1</v>
      </c>
      <c r="P2051" s="40">
        <v>1</v>
      </c>
      <c r="Q2051" s="30"/>
      <c r="R2051" s="30"/>
      <c r="S2051" s="30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</row>
    <row r="2052" spans="1:48" s="18" customFormat="1" ht="15.75" customHeight="1">
      <c r="A2052" s="50"/>
      <c r="B2052" s="93" t="s">
        <v>670</v>
      </c>
      <c r="C2052" s="16"/>
      <c r="D2052" s="52"/>
      <c r="E2052" s="51"/>
      <c r="F2052" s="52"/>
      <c r="G2052" s="52"/>
      <c r="H2052" s="52"/>
      <c r="I2052" s="52"/>
      <c r="J2052" s="52"/>
      <c r="K2052" s="52"/>
      <c r="L2052" s="60">
        <f>SUM(L2053:L2053)</f>
        <v>1</v>
      </c>
      <c r="M2052" s="60">
        <f>SUM(M2053:M2053)</f>
        <v>2</v>
      </c>
      <c r="N2052" s="60">
        <f>SUM(N2053:N2053)</f>
        <v>2</v>
      </c>
      <c r="O2052" s="60" t="s">
        <v>556</v>
      </c>
      <c r="P2052" s="60" t="s">
        <v>556</v>
      </c>
      <c r="Q2052" s="23"/>
      <c r="R2052" s="23"/>
      <c r="S2052" s="17"/>
      <c r="T2052" s="47"/>
      <c r="U2052" s="47"/>
      <c r="V2052" s="47"/>
      <c r="W2052" s="47"/>
      <c r="X2052" s="47"/>
      <c r="Y2052" s="47"/>
      <c r="Z2052" s="47"/>
      <c r="AA2052" s="47"/>
      <c r="AB2052" s="47"/>
      <c r="AC2052" s="47"/>
      <c r="AD2052" s="47"/>
      <c r="AE2052" s="47"/>
      <c r="AF2052" s="47"/>
      <c r="AG2052" s="47"/>
      <c r="AH2052" s="47"/>
      <c r="AI2052" s="47"/>
      <c r="AJ2052" s="47"/>
      <c r="AK2052" s="47"/>
      <c r="AL2052" s="47"/>
      <c r="AM2052" s="47"/>
      <c r="AN2052" s="47"/>
      <c r="AO2052" s="47"/>
      <c r="AP2052" s="47"/>
      <c r="AQ2052" s="47"/>
      <c r="AR2052" s="47"/>
      <c r="AS2052" s="47"/>
      <c r="AT2052" s="47"/>
      <c r="AU2052" s="47"/>
      <c r="AV2052" s="47"/>
    </row>
    <row r="2053" spans="1:48" s="27" customFormat="1" ht="15.75" customHeight="1">
      <c r="A2053" s="12"/>
      <c r="B2053" s="111" t="s">
        <v>422</v>
      </c>
      <c r="C2053" s="15" t="s">
        <v>423</v>
      </c>
      <c r="D2053" s="51"/>
      <c r="E2053" s="51"/>
      <c r="F2053" s="51"/>
      <c r="G2053" s="51"/>
      <c r="H2053" s="51"/>
      <c r="I2053" s="51"/>
      <c r="J2053" s="51"/>
      <c r="K2053" s="51"/>
      <c r="L2053" s="40">
        <v>1</v>
      </c>
      <c r="M2053" s="40">
        <v>2</v>
      </c>
      <c r="N2053" s="40">
        <v>2</v>
      </c>
      <c r="O2053" s="40" t="s">
        <v>556</v>
      </c>
      <c r="P2053" s="40" t="s">
        <v>556</v>
      </c>
      <c r="Q2053" s="30"/>
      <c r="R2053" s="30"/>
      <c r="S2053" s="30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</row>
    <row r="2054" spans="1:188" s="57" customFormat="1" ht="19.5" customHeight="1">
      <c r="A2054" s="13">
        <v>38</v>
      </c>
      <c r="B2054" s="92" t="s">
        <v>317</v>
      </c>
      <c r="C2054" s="45"/>
      <c r="D2054" s="75">
        <v>40</v>
      </c>
      <c r="E2054" s="75"/>
      <c r="F2054" s="75">
        <v>43</v>
      </c>
      <c r="G2054" s="75">
        <v>45</v>
      </c>
      <c r="H2054" s="75">
        <v>43</v>
      </c>
      <c r="I2054" s="75">
        <v>45</v>
      </c>
      <c r="J2054" s="75"/>
      <c r="K2054" s="75">
        <v>45</v>
      </c>
      <c r="L2054" s="44">
        <f>L2055+L2058</f>
        <v>4</v>
      </c>
      <c r="M2054" s="44">
        <f>M2055+M2058</f>
        <v>4</v>
      </c>
      <c r="N2054" s="44">
        <f>N2055+N2058</f>
        <v>3</v>
      </c>
      <c r="O2054" s="44">
        <f>O2055+O2058</f>
        <v>3</v>
      </c>
      <c r="P2054" s="44">
        <f>P2055+P2058</f>
        <v>3</v>
      </c>
      <c r="Q2054" s="54" t="s">
        <v>649</v>
      </c>
      <c r="R2054" s="54">
        <v>14</v>
      </c>
      <c r="S2054" s="55" t="s">
        <v>549</v>
      </c>
      <c r="T2054" s="56"/>
      <c r="U2054" s="56"/>
      <c r="V2054" s="56"/>
      <c r="W2054" s="56"/>
      <c r="X2054" s="56"/>
      <c r="Y2054" s="56"/>
      <c r="Z2054" s="56"/>
      <c r="AA2054" s="56"/>
      <c r="AB2054" s="56"/>
      <c r="AC2054" s="56"/>
      <c r="AD2054" s="56"/>
      <c r="AE2054" s="56"/>
      <c r="AF2054" s="56"/>
      <c r="AG2054" s="56"/>
      <c r="AH2054" s="56"/>
      <c r="AI2054" s="56"/>
      <c r="AJ2054" s="56"/>
      <c r="AK2054" s="56"/>
      <c r="AL2054" s="56"/>
      <c r="AM2054" s="56"/>
      <c r="AN2054" s="56"/>
      <c r="AO2054" s="56"/>
      <c r="AP2054" s="56"/>
      <c r="AQ2054" s="56"/>
      <c r="AR2054" s="56"/>
      <c r="AS2054" s="56"/>
      <c r="AT2054" s="56"/>
      <c r="AU2054" s="56"/>
      <c r="AV2054" s="56"/>
      <c r="AW2054" s="56"/>
      <c r="AX2054" s="56"/>
      <c r="AY2054" s="56"/>
      <c r="AZ2054" s="56"/>
      <c r="BA2054" s="56"/>
      <c r="BB2054" s="56"/>
      <c r="BC2054" s="56"/>
      <c r="BD2054" s="56"/>
      <c r="BE2054" s="56"/>
      <c r="BF2054" s="56"/>
      <c r="BG2054" s="56"/>
      <c r="BH2054" s="56"/>
      <c r="BI2054" s="56"/>
      <c r="BJ2054" s="56"/>
      <c r="BK2054" s="56"/>
      <c r="BL2054" s="56"/>
      <c r="BM2054" s="56"/>
      <c r="BN2054" s="56"/>
      <c r="BO2054" s="56"/>
      <c r="BP2054" s="56"/>
      <c r="BQ2054" s="56"/>
      <c r="BR2054" s="56"/>
      <c r="BS2054" s="56"/>
      <c r="BT2054" s="56"/>
      <c r="BU2054" s="56"/>
      <c r="BV2054" s="56"/>
      <c r="BW2054" s="56"/>
      <c r="BX2054" s="56"/>
      <c r="BY2054" s="56"/>
      <c r="BZ2054" s="56"/>
      <c r="CA2054" s="56"/>
      <c r="CB2054" s="56"/>
      <c r="CC2054" s="56"/>
      <c r="CD2054" s="56"/>
      <c r="CE2054" s="56"/>
      <c r="CF2054" s="56"/>
      <c r="CG2054" s="56"/>
      <c r="CH2054" s="56"/>
      <c r="CI2054" s="56"/>
      <c r="CJ2054" s="56"/>
      <c r="CK2054" s="56"/>
      <c r="CL2054" s="56"/>
      <c r="CM2054" s="56"/>
      <c r="CN2054" s="56"/>
      <c r="CO2054" s="56"/>
      <c r="CP2054" s="56"/>
      <c r="CQ2054" s="56"/>
      <c r="CR2054" s="56"/>
      <c r="CS2054" s="56"/>
      <c r="CT2054" s="56"/>
      <c r="CU2054" s="56"/>
      <c r="CV2054" s="56"/>
      <c r="CW2054" s="56"/>
      <c r="CX2054" s="56"/>
      <c r="CY2054" s="56"/>
      <c r="CZ2054" s="56"/>
      <c r="DA2054" s="56"/>
      <c r="DB2054" s="56"/>
      <c r="DC2054" s="56"/>
      <c r="DD2054" s="56"/>
      <c r="DE2054" s="56"/>
      <c r="DF2054" s="56"/>
      <c r="DG2054" s="56"/>
      <c r="DH2054" s="56"/>
      <c r="DI2054" s="56"/>
      <c r="DJ2054" s="56"/>
      <c r="DK2054" s="56"/>
      <c r="DL2054" s="56"/>
      <c r="DM2054" s="56"/>
      <c r="DN2054" s="56"/>
      <c r="DO2054" s="56"/>
      <c r="DP2054" s="56"/>
      <c r="DQ2054" s="56"/>
      <c r="DR2054" s="56"/>
      <c r="DS2054" s="56"/>
      <c r="DT2054" s="56"/>
      <c r="DU2054" s="56"/>
      <c r="DV2054" s="56"/>
      <c r="DW2054" s="56"/>
      <c r="DX2054" s="56"/>
      <c r="DY2054" s="56"/>
      <c r="DZ2054" s="56"/>
      <c r="EA2054" s="56"/>
      <c r="EB2054" s="56"/>
      <c r="EC2054" s="56"/>
      <c r="ED2054" s="56"/>
      <c r="EE2054" s="56"/>
      <c r="EF2054" s="56"/>
      <c r="EG2054" s="56"/>
      <c r="EH2054" s="56"/>
      <c r="EI2054" s="56"/>
      <c r="EJ2054" s="56"/>
      <c r="EK2054" s="56"/>
      <c r="EL2054" s="56"/>
      <c r="EM2054" s="56"/>
      <c r="EN2054" s="56"/>
      <c r="EO2054" s="56"/>
      <c r="EP2054" s="56"/>
      <c r="EQ2054" s="56"/>
      <c r="ER2054" s="56"/>
      <c r="ES2054" s="56"/>
      <c r="ET2054" s="56"/>
      <c r="EU2054" s="56"/>
      <c r="EV2054" s="56"/>
      <c r="EW2054" s="56"/>
      <c r="EX2054" s="56"/>
      <c r="EY2054" s="56"/>
      <c r="EZ2054" s="56"/>
      <c r="FA2054" s="56"/>
      <c r="FB2054" s="56"/>
      <c r="FC2054" s="56"/>
      <c r="FD2054" s="56"/>
      <c r="FE2054" s="56"/>
      <c r="FF2054" s="56"/>
      <c r="FG2054" s="56"/>
      <c r="FH2054" s="56"/>
      <c r="FI2054" s="56"/>
      <c r="FJ2054" s="56"/>
      <c r="FK2054" s="56"/>
      <c r="FL2054" s="56"/>
      <c r="FM2054" s="56"/>
      <c r="FN2054" s="56"/>
      <c r="FO2054" s="56"/>
      <c r="FP2054" s="56"/>
      <c r="FQ2054" s="56"/>
      <c r="FR2054" s="56"/>
      <c r="FS2054" s="56"/>
      <c r="FT2054" s="56"/>
      <c r="FU2054" s="56"/>
      <c r="FV2054" s="56"/>
      <c r="FW2054" s="56"/>
      <c r="FX2054" s="56"/>
      <c r="FY2054" s="56"/>
      <c r="FZ2054" s="56"/>
      <c r="GA2054" s="56"/>
      <c r="GB2054" s="56"/>
      <c r="GC2054" s="56"/>
      <c r="GD2054" s="56"/>
      <c r="GE2054" s="56"/>
      <c r="GF2054" s="56"/>
    </row>
    <row r="2055" spans="1:48" s="18" customFormat="1" ht="17.25" customHeight="1">
      <c r="A2055" s="50"/>
      <c r="B2055" s="93" t="s">
        <v>669</v>
      </c>
      <c r="C2055" s="16"/>
      <c r="D2055" s="52"/>
      <c r="E2055" s="52"/>
      <c r="F2055" s="52"/>
      <c r="G2055" s="52"/>
      <c r="H2055" s="52"/>
      <c r="I2055" s="52"/>
      <c r="J2055" s="52"/>
      <c r="K2055" s="52"/>
      <c r="L2055" s="60">
        <f>SUM(L2056:L2057)</f>
        <v>3</v>
      </c>
      <c r="M2055" s="60">
        <f>SUM(M2056:M2057)</f>
        <v>2</v>
      </c>
      <c r="N2055" s="60">
        <f>SUM(N2056:N2057)</f>
        <v>2</v>
      </c>
      <c r="O2055" s="60">
        <f>SUM(O2056:O2057)</f>
        <v>2</v>
      </c>
      <c r="P2055" s="60">
        <f>SUM(P2056:P2057)</f>
        <v>2</v>
      </c>
      <c r="Q2055" s="23"/>
      <c r="R2055" s="23"/>
      <c r="S2055" s="17"/>
      <c r="T2055" s="47"/>
      <c r="U2055" s="47"/>
      <c r="V2055" s="47"/>
      <c r="W2055" s="47"/>
      <c r="X2055" s="47"/>
      <c r="Y2055" s="47"/>
      <c r="Z2055" s="47"/>
      <c r="AA2055" s="47"/>
      <c r="AB2055" s="47"/>
      <c r="AC2055" s="47"/>
      <c r="AD2055" s="47"/>
      <c r="AE2055" s="47"/>
      <c r="AF2055" s="47"/>
      <c r="AG2055" s="47"/>
      <c r="AH2055" s="47"/>
      <c r="AI2055" s="47"/>
      <c r="AJ2055" s="47"/>
      <c r="AK2055" s="47"/>
      <c r="AL2055" s="47"/>
      <c r="AM2055" s="47"/>
      <c r="AN2055" s="47"/>
      <c r="AO2055" s="47"/>
      <c r="AP2055" s="47"/>
      <c r="AQ2055" s="47"/>
      <c r="AR2055" s="47"/>
      <c r="AS2055" s="47"/>
      <c r="AT2055" s="47"/>
      <c r="AU2055" s="47"/>
      <c r="AV2055" s="47"/>
    </row>
    <row r="2056" spans="1:48" s="27" customFormat="1" ht="17.25" customHeight="1">
      <c r="A2056" s="12"/>
      <c r="B2056" s="105" t="s">
        <v>1318</v>
      </c>
      <c r="C2056" s="15">
        <v>15030121</v>
      </c>
      <c r="D2056" s="51"/>
      <c r="E2056" s="51"/>
      <c r="F2056" s="51"/>
      <c r="G2056" s="51"/>
      <c r="H2056" s="51"/>
      <c r="I2056" s="51"/>
      <c r="J2056" s="51"/>
      <c r="K2056" s="51"/>
      <c r="L2056" s="40">
        <v>2</v>
      </c>
      <c r="M2056" s="40">
        <v>1</v>
      </c>
      <c r="N2056" s="40">
        <v>2</v>
      </c>
      <c r="O2056" s="40">
        <v>1</v>
      </c>
      <c r="P2056" s="40">
        <v>1</v>
      </c>
      <c r="Q2056" s="30"/>
      <c r="R2056" s="30"/>
      <c r="S2056" s="30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</row>
    <row r="2057" spans="1:48" s="27" customFormat="1" ht="15.75" customHeight="1">
      <c r="A2057" s="12"/>
      <c r="B2057" s="97" t="s">
        <v>784</v>
      </c>
      <c r="C2057" s="15" t="s">
        <v>785</v>
      </c>
      <c r="D2057" s="51"/>
      <c r="E2057" s="51"/>
      <c r="F2057" s="51"/>
      <c r="G2057" s="51"/>
      <c r="H2057" s="51"/>
      <c r="I2057" s="51"/>
      <c r="J2057" s="51"/>
      <c r="K2057" s="51"/>
      <c r="L2057" s="40">
        <v>1</v>
      </c>
      <c r="M2057" s="40">
        <v>1</v>
      </c>
      <c r="N2057" s="40" t="s">
        <v>556</v>
      </c>
      <c r="O2057" s="40">
        <v>1</v>
      </c>
      <c r="P2057" s="40">
        <v>1</v>
      </c>
      <c r="Q2057" s="30"/>
      <c r="R2057" s="30"/>
      <c r="S2057" s="30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</row>
    <row r="2058" spans="1:48" s="18" customFormat="1" ht="17.25" customHeight="1">
      <c r="A2058" s="50"/>
      <c r="B2058" s="93" t="s">
        <v>670</v>
      </c>
      <c r="C2058" s="16"/>
      <c r="D2058" s="52"/>
      <c r="E2058" s="51"/>
      <c r="F2058" s="52"/>
      <c r="G2058" s="52"/>
      <c r="H2058" s="52"/>
      <c r="I2058" s="52"/>
      <c r="J2058" s="52"/>
      <c r="K2058" s="52"/>
      <c r="L2058" s="60">
        <f>SUM(L2059:L2059)</f>
        <v>1</v>
      </c>
      <c r="M2058" s="60">
        <f>SUM(M2059:M2059)</f>
        <v>2</v>
      </c>
      <c r="N2058" s="60">
        <f>SUM(N2059:N2059)</f>
        <v>1</v>
      </c>
      <c r="O2058" s="60">
        <f>SUM(O2059:O2059)</f>
        <v>1</v>
      </c>
      <c r="P2058" s="60">
        <f>SUM(P2059:P2059)</f>
        <v>1</v>
      </c>
      <c r="Q2058" s="23"/>
      <c r="R2058" s="23"/>
      <c r="S2058" s="17"/>
      <c r="T2058" s="47"/>
      <c r="U2058" s="47"/>
      <c r="V2058" s="47"/>
      <c r="W2058" s="47"/>
      <c r="X2058" s="47"/>
      <c r="Y2058" s="47"/>
      <c r="Z2058" s="47"/>
      <c r="AA2058" s="47"/>
      <c r="AB2058" s="47"/>
      <c r="AC2058" s="47"/>
      <c r="AD2058" s="47"/>
      <c r="AE2058" s="47"/>
      <c r="AF2058" s="47"/>
      <c r="AG2058" s="47"/>
      <c r="AH2058" s="47"/>
      <c r="AI2058" s="47"/>
      <c r="AJ2058" s="47"/>
      <c r="AK2058" s="47"/>
      <c r="AL2058" s="47"/>
      <c r="AM2058" s="47"/>
      <c r="AN2058" s="47"/>
      <c r="AO2058" s="47"/>
      <c r="AP2058" s="47"/>
      <c r="AQ2058" s="47"/>
      <c r="AR2058" s="47"/>
      <c r="AS2058" s="47"/>
      <c r="AT2058" s="47"/>
      <c r="AU2058" s="47"/>
      <c r="AV2058" s="47"/>
    </row>
    <row r="2059" spans="1:48" s="27" customFormat="1" ht="17.25" customHeight="1">
      <c r="A2059" s="12"/>
      <c r="B2059" s="97" t="s">
        <v>1283</v>
      </c>
      <c r="C2059" s="29" t="s">
        <v>423</v>
      </c>
      <c r="D2059" s="51"/>
      <c r="E2059" s="51"/>
      <c r="F2059" s="51"/>
      <c r="G2059" s="51"/>
      <c r="H2059" s="51"/>
      <c r="I2059" s="51"/>
      <c r="J2059" s="51"/>
      <c r="K2059" s="51"/>
      <c r="L2059" s="40">
        <v>1</v>
      </c>
      <c r="M2059" s="40">
        <v>2</v>
      </c>
      <c r="N2059" s="40">
        <v>1</v>
      </c>
      <c r="O2059" s="40">
        <v>1</v>
      </c>
      <c r="P2059" s="40">
        <v>1</v>
      </c>
      <c r="Q2059" s="30"/>
      <c r="R2059" s="30"/>
      <c r="S2059" s="30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</row>
    <row r="2060" spans="1:19" ht="19.5" customHeight="1">
      <c r="A2060" s="399" t="s">
        <v>651</v>
      </c>
      <c r="B2060" s="399"/>
      <c r="C2060" s="399"/>
      <c r="D2060" s="399"/>
      <c r="E2060" s="399"/>
      <c r="F2060" s="399"/>
      <c r="G2060" s="399"/>
      <c r="H2060" s="399"/>
      <c r="I2060" s="399"/>
      <c r="J2060" s="399"/>
      <c r="K2060" s="399"/>
      <c r="L2060" s="399"/>
      <c r="M2060" s="399"/>
      <c r="N2060" s="399"/>
      <c r="O2060" s="399"/>
      <c r="P2060" s="399"/>
      <c r="Q2060" s="20"/>
      <c r="R2060" s="20"/>
      <c r="S2060" s="7"/>
    </row>
    <row r="2061" spans="1:19" ht="19.5" customHeight="1">
      <c r="A2061" s="400" t="s">
        <v>676</v>
      </c>
      <c r="B2061" s="400"/>
      <c r="C2061" s="400"/>
      <c r="D2061" s="400"/>
      <c r="E2061" s="400"/>
      <c r="F2061" s="400"/>
      <c r="G2061" s="400"/>
      <c r="H2061" s="400"/>
      <c r="I2061" s="400"/>
      <c r="J2061" s="400"/>
      <c r="K2061" s="400"/>
      <c r="L2061" s="400"/>
      <c r="M2061" s="400"/>
      <c r="N2061" s="400"/>
      <c r="O2061" s="400"/>
      <c r="P2061" s="400"/>
      <c r="Q2061" s="21"/>
      <c r="R2061" s="21"/>
      <c r="S2061" s="8"/>
    </row>
    <row r="2062" spans="1:188" s="57" customFormat="1" ht="19.5" customHeight="1">
      <c r="A2062" s="13">
        <v>39</v>
      </c>
      <c r="B2062" s="92" t="s">
        <v>318</v>
      </c>
      <c r="C2062" s="45"/>
      <c r="D2062" s="75">
        <v>130</v>
      </c>
      <c r="E2062" s="75">
        <v>20</v>
      </c>
      <c r="F2062" s="75">
        <v>114</v>
      </c>
      <c r="G2062" s="75">
        <v>115</v>
      </c>
      <c r="H2062" s="75">
        <v>117</v>
      </c>
      <c r="I2062" s="75">
        <v>118</v>
      </c>
      <c r="J2062" s="75"/>
      <c r="K2062" s="75">
        <v>120</v>
      </c>
      <c r="L2062" s="44">
        <f>L2063+L2069</f>
        <v>27</v>
      </c>
      <c r="M2062" s="44">
        <f>M2063+M2069</f>
        <v>27</v>
      </c>
      <c r="N2062" s="44">
        <f>N2063+N2069</f>
        <v>27</v>
      </c>
      <c r="O2062" s="44">
        <f>O2063+O2069</f>
        <v>27</v>
      </c>
      <c r="P2062" s="44">
        <f>P2063+P2069</f>
        <v>27</v>
      </c>
      <c r="Q2062" s="54" t="s">
        <v>649</v>
      </c>
      <c r="R2062" s="54">
        <v>14</v>
      </c>
      <c r="S2062" s="55" t="s">
        <v>549</v>
      </c>
      <c r="T2062" s="56"/>
      <c r="U2062" s="56"/>
      <c r="V2062" s="56"/>
      <c r="W2062" s="56"/>
      <c r="X2062" s="56"/>
      <c r="Y2062" s="56"/>
      <c r="Z2062" s="56"/>
      <c r="AA2062" s="56"/>
      <c r="AB2062" s="56"/>
      <c r="AC2062" s="56"/>
      <c r="AD2062" s="56"/>
      <c r="AE2062" s="56"/>
      <c r="AF2062" s="56"/>
      <c r="AG2062" s="56"/>
      <c r="AH2062" s="56"/>
      <c r="AI2062" s="56"/>
      <c r="AJ2062" s="56"/>
      <c r="AK2062" s="56"/>
      <c r="AL2062" s="56"/>
      <c r="AM2062" s="56"/>
      <c r="AN2062" s="56"/>
      <c r="AO2062" s="56"/>
      <c r="AP2062" s="56"/>
      <c r="AQ2062" s="56"/>
      <c r="AR2062" s="56"/>
      <c r="AS2062" s="56"/>
      <c r="AT2062" s="56"/>
      <c r="AU2062" s="56"/>
      <c r="AV2062" s="56"/>
      <c r="AW2062" s="56"/>
      <c r="AX2062" s="56"/>
      <c r="AY2062" s="56"/>
      <c r="AZ2062" s="56"/>
      <c r="BA2062" s="56"/>
      <c r="BB2062" s="56"/>
      <c r="BC2062" s="56"/>
      <c r="BD2062" s="56"/>
      <c r="BE2062" s="56"/>
      <c r="BF2062" s="56"/>
      <c r="BG2062" s="56"/>
      <c r="BH2062" s="56"/>
      <c r="BI2062" s="56"/>
      <c r="BJ2062" s="56"/>
      <c r="BK2062" s="56"/>
      <c r="BL2062" s="56"/>
      <c r="BM2062" s="56"/>
      <c r="BN2062" s="56"/>
      <c r="BO2062" s="56"/>
      <c r="BP2062" s="56"/>
      <c r="BQ2062" s="56"/>
      <c r="BR2062" s="56"/>
      <c r="BS2062" s="56"/>
      <c r="BT2062" s="56"/>
      <c r="BU2062" s="56"/>
      <c r="BV2062" s="56"/>
      <c r="BW2062" s="56"/>
      <c r="BX2062" s="56"/>
      <c r="BY2062" s="56"/>
      <c r="BZ2062" s="56"/>
      <c r="CA2062" s="56"/>
      <c r="CB2062" s="56"/>
      <c r="CC2062" s="56"/>
      <c r="CD2062" s="56"/>
      <c r="CE2062" s="56"/>
      <c r="CF2062" s="56"/>
      <c r="CG2062" s="56"/>
      <c r="CH2062" s="56"/>
      <c r="CI2062" s="56"/>
      <c r="CJ2062" s="56"/>
      <c r="CK2062" s="56"/>
      <c r="CL2062" s="56"/>
      <c r="CM2062" s="56"/>
      <c r="CN2062" s="56"/>
      <c r="CO2062" s="56"/>
      <c r="CP2062" s="56"/>
      <c r="CQ2062" s="56"/>
      <c r="CR2062" s="56"/>
      <c r="CS2062" s="56"/>
      <c r="CT2062" s="56"/>
      <c r="CU2062" s="56"/>
      <c r="CV2062" s="56"/>
      <c r="CW2062" s="56"/>
      <c r="CX2062" s="56"/>
      <c r="CY2062" s="56"/>
      <c r="CZ2062" s="56"/>
      <c r="DA2062" s="56"/>
      <c r="DB2062" s="56"/>
      <c r="DC2062" s="56"/>
      <c r="DD2062" s="56"/>
      <c r="DE2062" s="56"/>
      <c r="DF2062" s="56"/>
      <c r="DG2062" s="56"/>
      <c r="DH2062" s="56"/>
      <c r="DI2062" s="56"/>
      <c r="DJ2062" s="56"/>
      <c r="DK2062" s="56"/>
      <c r="DL2062" s="56"/>
      <c r="DM2062" s="56"/>
      <c r="DN2062" s="56"/>
      <c r="DO2062" s="56"/>
      <c r="DP2062" s="56"/>
      <c r="DQ2062" s="56"/>
      <c r="DR2062" s="56"/>
      <c r="DS2062" s="56"/>
      <c r="DT2062" s="56"/>
      <c r="DU2062" s="56"/>
      <c r="DV2062" s="56"/>
      <c r="DW2062" s="56"/>
      <c r="DX2062" s="56"/>
      <c r="DY2062" s="56"/>
      <c r="DZ2062" s="56"/>
      <c r="EA2062" s="56"/>
      <c r="EB2062" s="56"/>
      <c r="EC2062" s="56"/>
      <c r="ED2062" s="56"/>
      <c r="EE2062" s="56"/>
      <c r="EF2062" s="56"/>
      <c r="EG2062" s="56"/>
      <c r="EH2062" s="56"/>
      <c r="EI2062" s="56"/>
      <c r="EJ2062" s="56"/>
      <c r="EK2062" s="56"/>
      <c r="EL2062" s="56"/>
      <c r="EM2062" s="56"/>
      <c r="EN2062" s="56"/>
      <c r="EO2062" s="56"/>
      <c r="EP2062" s="56"/>
      <c r="EQ2062" s="56"/>
      <c r="ER2062" s="56"/>
      <c r="ES2062" s="56"/>
      <c r="ET2062" s="56"/>
      <c r="EU2062" s="56"/>
      <c r="EV2062" s="56"/>
      <c r="EW2062" s="56"/>
      <c r="EX2062" s="56"/>
      <c r="EY2062" s="56"/>
      <c r="EZ2062" s="56"/>
      <c r="FA2062" s="56"/>
      <c r="FB2062" s="56"/>
      <c r="FC2062" s="56"/>
      <c r="FD2062" s="56"/>
      <c r="FE2062" s="56"/>
      <c r="FF2062" s="56"/>
      <c r="FG2062" s="56"/>
      <c r="FH2062" s="56"/>
      <c r="FI2062" s="56"/>
      <c r="FJ2062" s="56"/>
      <c r="FK2062" s="56"/>
      <c r="FL2062" s="56"/>
      <c r="FM2062" s="56"/>
      <c r="FN2062" s="56"/>
      <c r="FO2062" s="56"/>
      <c r="FP2062" s="56"/>
      <c r="FQ2062" s="56"/>
      <c r="FR2062" s="56"/>
      <c r="FS2062" s="56"/>
      <c r="FT2062" s="56"/>
      <c r="FU2062" s="56"/>
      <c r="FV2062" s="56"/>
      <c r="FW2062" s="56"/>
      <c r="FX2062" s="56"/>
      <c r="FY2062" s="56"/>
      <c r="FZ2062" s="56"/>
      <c r="GA2062" s="56"/>
      <c r="GB2062" s="56"/>
      <c r="GC2062" s="56"/>
      <c r="GD2062" s="56"/>
      <c r="GE2062" s="56"/>
      <c r="GF2062" s="56"/>
    </row>
    <row r="2063" spans="1:48" s="18" customFormat="1" ht="17.25" customHeight="1">
      <c r="A2063" s="50"/>
      <c r="B2063" s="93" t="s">
        <v>669</v>
      </c>
      <c r="C2063" s="16"/>
      <c r="D2063" s="52"/>
      <c r="E2063" s="52"/>
      <c r="F2063" s="52"/>
      <c r="G2063" s="52"/>
      <c r="H2063" s="52"/>
      <c r="I2063" s="52"/>
      <c r="J2063" s="52"/>
      <c r="K2063" s="52"/>
      <c r="L2063" s="60">
        <f>SUM(L2064:L2068)</f>
        <v>25</v>
      </c>
      <c r="M2063" s="60">
        <f>SUM(M2064:M2068)</f>
        <v>25</v>
      </c>
      <c r="N2063" s="60">
        <f>SUM(N2064:N2068)</f>
        <v>25</v>
      </c>
      <c r="O2063" s="60">
        <f>SUM(O2064:O2068)</f>
        <v>25</v>
      </c>
      <c r="P2063" s="60">
        <f>SUM(P2064:P2068)</f>
        <v>25</v>
      </c>
      <c r="Q2063" s="23"/>
      <c r="R2063" s="23"/>
      <c r="S2063" s="17"/>
      <c r="T2063" s="47"/>
      <c r="U2063" s="47"/>
      <c r="V2063" s="47"/>
      <c r="W2063" s="47"/>
      <c r="X2063" s="47"/>
      <c r="Y2063" s="47"/>
      <c r="Z2063" s="47"/>
      <c r="AA2063" s="47"/>
      <c r="AB2063" s="47"/>
      <c r="AC2063" s="47"/>
      <c r="AD2063" s="47"/>
      <c r="AE2063" s="47"/>
      <c r="AF2063" s="47"/>
      <c r="AG2063" s="47"/>
      <c r="AH2063" s="47"/>
      <c r="AI2063" s="47"/>
      <c r="AJ2063" s="47"/>
      <c r="AK2063" s="47"/>
      <c r="AL2063" s="47"/>
      <c r="AM2063" s="47"/>
      <c r="AN2063" s="47"/>
      <c r="AO2063" s="47"/>
      <c r="AP2063" s="47"/>
      <c r="AQ2063" s="47"/>
      <c r="AR2063" s="47"/>
      <c r="AS2063" s="47"/>
      <c r="AT2063" s="47"/>
      <c r="AU2063" s="47"/>
      <c r="AV2063" s="47"/>
    </row>
    <row r="2064" spans="1:48" s="27" customFormat="1" ht="16.5" customHeight="1">
      <c r="A2064" s="12"/>
      <c r="B2064" s="97" t="s">
        <v>1316</v>
      </c>
      <c r="C2064" s="29" t="s">
        <v>1317</v>
      </c>
      <c r="D2064" s="51"/>
      <c r="E2064" s="51"/>
      <c r="F2064" s="51"/>
      <c r="G2064" s="51"/>
      <c r="H2064" s="51"/>
      <c r="I2064" s="51"/>
      <c r="J2064" s="51"/>
      <c r="K2064" s="51"/>
      <c r="L2064" s="40">
        <v>2</v>
      </c>
      <c r="M2064" s="40">
        <v>2</v>
      </c>
      <c r="N2064" s="40">
        <v>2</v>
      </c>
      <c r="O2064" s="40">
        <v>2</v>
      </c>
      <c r="P2064" s="40">
        <v>2</v>
      </c>
      <c r="Q2064" s="30"/>
      <c r="R2064" s="30"/>
      <c r="S2064" s="30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</row>
    <row r="2065" spans="1:48" s="27" customFormat="1" ht="16.5" customHeight="1">
      <c r="A2065" s="12"/>
      <c r="B2065" s="97" t="s">
        <v>599</v>
      </c>
      <c r="C2065" s="15" t="s">
        <v>600</v>
      </c>
      <c r="D2065" s="51"/>
      <c r="E2065" s="51"/>
      <c r="F2065" s="51"/>
      <c r="G2065" s="51"/>
      <c r="H2065" s="51"/>
      <c r="I2065" s="51"/>
      <c r="J2065" s="51"/>
      <c r="K2065" s="51"/>
      <c r="L2065" s="40">
        <v>10</v>
      </c>
      <c r="M2065" s="40">
        <v>10</v>
      </c>
      <c r="N2065" s="40">
        <v>10</v>
      </c>
      <c r="O2065" s="40">
        <v>10</v>
      </c>
      <c r="P2065" s="40">
        <v>10</v>
      </c>
      <c r="Q2065" s="30"/>
      <c r="R2065" s="30"/>
      <c r="S2065" s="30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</row>
    <row r="2066" spans="1:48" s="27" customFormat="1" ht="16.5" customHeight="1">
      <c r="A2066" s="12"/>
      <c r="B2066" s="97" t="s">
        <v>1318</v>
      </c>
      <c r="C2066" s="29" t="s">
        <v>598</v>
      </c>
      <c r="D2066" s="51"/>
      <c r="E2066" s="51"/>
      <c r="F2066" s="51"/>
      <c r="G2066" s="51"/>
      <c r="H2066" s="51"/>
      <c r="I2066" s="51"/>
      <c r="J2066" s="51"/>
      <c r="K2066" s="51"/>
      <c r="L2066" s="40">
        <v>5</v>
      </c>
      <c r="M2066" s="40">
        <v>5</v>
      </c>
      <c r="N2066" s="40">
        <v>5</v>
      </c>
      <c r="O2066" s="40">
        <v>5</v>
      </c>
      <c r="P2066" s="40">
        <v>5</v>
      </c>
      <c r="Q2066" s="30"/>
      <c r="R2066" s="30"/>
      <c r="S2066" s="30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</row>
    <row r="2067" spans="1:48" s="27" customFormat="1" ht="16.5" customHeight="1">
      <c r="A2067" s="12"/>
      <c r="B2067" s="97" t="s">
        <v>453</v>
      </c>
      <c r="C2067" s="15" t="s">
        <v>454</v>
      </c>
      <c r="D2067" s="51"/>
      <c r="E2067" s="51"/>
      <c r="F2067" s="51"/>
      <c r="G2067" s="51"/>
      <c r="H2067" s="51"/>
      <c r="I2067" s="51"/>
      <c r="J2067" s="51"/>
      <c r="K2067" s="51"/>
      <c r="L2067" s="40">
        <v>6</v>
      </c>
      <c r="M2067" s="40">
        <v>6</v>
      </c>
      <c r="N2067" s="40">
        <v>6</v>
      </c>
      <c r="O2067" s="40">
        <v>6</v>
      </c>
      <c r="P2067" s="40">
        <v>6</v>
      </c>
      <c r="Q2067" s="30"/>
      <c r="R2067" s="30"/>
      <c r="S2067" s="30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</row>
    <row r="2068" spans="1:48" s="27" customFormat="1" ht="16.5" customHeight="1">
      <c r="A2068" s="12"/>
      <c r="B2068" s="97" t="s">
        <v>620</v>
      </c>
      <c r="C2068" s="29" t="s">
        <v>621</v>
      </c>
      <c r="D2068" s="51"/>
      <c r="E2068" s="51"/>
      <c r="F2068" s="51"/>
      <c r="G2068" s="51"/>
      <c r="H2068" s="51"/>
      <c r="I2068" s="51"/>
      <c r="J2068" s="51"/>
      <c r="K2068" s="51"/>
      <c r="L2068" s="40">
        <v>2</v>
      </c>
      <c r="M2068" s="40">
        <v>2</v>
      </c>
      <c r="N2068" s="40">
        <v>2</v>
      </c>
      <c r="O2068" s="40">
        <v>2</v>
      </c>
      <c r="P2068" s="40">
        <v>2</v>
      </c>
      <c r="Q2068" s="30"/>
      <c r="R2068" s="30"/>
      <c r="S2068" s="30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</row>
    <row r="2069" spans="1:48" s="18" customFormat="1" ht="18" customHeight="1">
      <c r="A2069" s="50"/>
      <c r="B2069" s="93" t="s">
        <v>670</v>
      </c>
      <c r="C2069" s="16"/>
      <c r="D2069" s="52"/>
      <c r="E2069" s="51"/>
      <c r="F2069" s="52"/>
      <c r="G2069" s="52"/>
      <c r="H2069" s="52"/>
      <c r="I2069" s="52"/>
      <c r="J2069" s="52"/>
      <c r="K2069" s="52"/>
      <c r="L2069" s="60">
        <f>SUM(L2070:L2070)</f>
        <v>2</v>
      </c>
      <c r="M2069" s="60">
        <f>SUM(M2070:M2070)</f>
        <v>2</v>
      </c>
      <c r="N2069" s="60">
        <f>SUM(N2070:N2070)</f>
        <v>2</v>
      </c>
      <c r="O2069" s="60">
        <f>SUM(O2070:O2070)</f>
        <v>2</v>
      </c>
      <c r="P2069" s="60">
        <f>SUM(P2070:P2070)</f>
        <v>2</v>
      </c>
      <c r="Q2069" s="23"/>
      <c r="R2069" s="23"/>
      <c r="S2069" s="17"/>
      <c r="T2069" s="47"/>
      <c r="U2069" s="47"/>
      <c r="V2069" s="47"/>
      <c r="W2069" s="47"/>
      <c r="X2069" s="47"/>
      <c r="Y2069" s="47"/>
      <c r="Z2069" s="47"/>
      <c r="AA2069" s="47"/>
      <c r="AB2069" s="47"/>
      <c r="AC2069" s="47"/>
      <c r="AD2069" s="47"/>
      <c r="AE2069" s="47"/>
      <c r="AF2069" s="47"/>
      <c r="AG2069" s="47"/>
      <c r="AH2069" s="47"/>
      <c r="AI2069" s="47"/>
      <c r="AJ2069" s="47"/>
      <c r="AK2069" s="47"/>
      <c r="AL2069" s="47"/>
      <c r="AM2069" s="47"/>
      <c r="AN2069" s="47"/>
      <c r="AO2069" s="47"/>
      <c r="AP2069" s="47"/>
      <c r="AQ2069" s="47"/>
      <c r="AR2069" s="47"/>
      <c r="AS2069" s="47"/>
      <c r="AT2069" s="47"/>
      <c r="AU2069" s="47"/>
      <c r="AV2069" s="47"/>
    </row>
    <row r="2070" spans="1:48" s="27" customFormat="1" ht="18" customHeight="1">
      <c r="A2070" s="12"/>
      <c r="B2070" s="111" t="s">
        <v>422</v>
      </c>
      <c r="C2070" s="15" t="s">
        <v>423</v>
      </c>
      <c r="D2070" s="51"/>
      <c r="E2070" s="51"/>
      <c r="F2070" s="51"/>
      <c r="G2070" s="51"/>
      <c r="H2070" s="51"/>
      <c r="I2070" s="51"/>
      <c r="J2070" s="51"/>
      <c r="K2070" s="51"/>
      <c r="L2070" s="40">
        <v>2</v>
      </c>
      <c r="M2070" s="40">
        <v>2</v>
      </c>
      <c r="N2070" s="40">
        <v>2</v>
      </c>
      <c r="O2070" s="40">
        <v>2</v>
      </c>
      <c r="P2070" s="40">
        <v>2</v>
      </c>
      <c r="Q2070" s="30"/>
      <c r="R2070" s="30"/>
      <c r="S2070" s="30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</row>
    <row r="2071" spans="1:19" ht="19.5" customHeight="1">
      <c r="A2071" s="400" t="s">
        <v>909</v>
      </c>
      <c r="B2071" s="400"/>
      <c r="C2071" s="400"/>
      <c r="D2071" s="400"/>
      <c r="E2071" s="400"/>
      <c r="F2071" s="400"/>
      <c r="G2071" s="400"/>
      <c r="H2071" s="400"/>
      <c r="I2071" s="400"/>
      <c r="J2071" s="400"/>
      <c r="K2071" s="400"/>
      <c r="L2071" s="400"/>
      <c r="M2071" s="400"/>
      <c r="N2071" s="400"/>
      <c r="O2071" s="400"/>
      <c r="P2071" s="400"/>
      <c r="Q2071" s="21"/>
      <c r="R2071" s="21"/>
      <c r="S2071" s="8"/>
    </row>
    <row r="2072" spans="1:188" s="57" customFormat="1" ht="18" customHeight="1">
      <c r="A2072" s="13">
        <v>40</v>
      </c>
      <c r="B2072" s="92" t="s">
        <v>1353</v>
      </c>
      <c r="C2072" s="45"/>
      <c r="D2072" s="44">
        <v>67</v>
      </c>
      <c r="E2072" s="44">
        <v>12</v>
      </c>
      <c r="F2072" s="44"/>
      <c r="G2072" s="44">
        <v>71</v>
      </c>
      <c r="H2072" s="44">
        <v>71</v>
      </c>
      <c r="I2072" s="44">
        <v>71</v>
      </c>
      <c r="J2072" s="44">
        <v>71</v>
      </c>
      <c r="K2072" s="44">
        <v>71</v>
      </c>
      <c r="L2072" s="44">
        <f>SUM(L2073,L2078,L2080)</f>
        <v>3</v>
      </c>
      <c r="M2072" s="44">
        <f>SUM(M2073,M2078,M2080)</f>
        <v>5</v>
      </c>
      <c r="N2072" s="44">
        <f>SUM(N2073,N2078,N2080)</f>
        <v>1</v>
      </c>
      <c r="O2072" s="44">
        <f>SUM(O2073,O2078,O2080)</f>
        <v>2</v>
      </c>
      <c r="P2072" s="44" t="s">
        <v>556</v>
      </c>
      <c r="Q2072" s="54" t="s">
        <v>648</v>
      </c>
      <c r="R2072" s="54">
        <v>16</v>
      </c>
      <c r="S2072" s="55" t="s">
        <v>1291</v>
      </c>
      <c r="T2072" s="56"/>
      <c r="U2072" s="56"/>
      <c r="V2072" s="56"/>
      <c r="W2072" s="56"/>
      <c r="X2072" s="56"/>
      <c r="Y2072" s="56"/>
      <c r="Z2072" s="56"/>
      <c r="AA2072" s="56"/>
      <c r="AB2072" s="56"/>
      <c r="AC2072" s="56"/>
      <c r="AD2072" s="56"/>
      <c r="AE2072" s="56"/>
      <c r="AF2072" s="56"/>
      <c r="AG2072" s="56"/>
      <c r="AH2072" s="56"/>
      <c r="AI2072" s="56"/>
      <c r="AJ2072" s="56"/>
      <c r="AK2072" s="56"/>
      <c r="AL2072" s="56"/>
      <c r="AM2072" s="56"/>
      <c r="AN2072" s="56"/>
      <c r="AO2072" s="56"/>
      <c r="AP2072" s="56"/>
      <c r="AQ2072" s="56"/>
      <c r="AR2072" s="56"/>
      <c r="AS2072" s="56"/>
      <c r="AT2072" s="56"/>
      <c r="AU2072" s="56"/>
      <c r="AV2072" s="56"/>
      <c r="AW2072" s="56"/>
      <c r="AX2072" s="56"/>
      <c r="AY2072" s="56"/>
      <c r="AZ2072" s="56"/>
      <c r="BA2072" s="56"/>
      <c r="BB2072" s="56"/>
      <c r="BC2072" s="56"/>
      <c r="BD2072" s="56"/>
      <c r="BE2072" s="56"/>
      <c r="BF2072" s="56"/>
      <c r="BG2072" s="56"/>
      <c r="BH2072" s="56"/>
      <c r="BI2072" s="56"/>
      <c r="BJ2072" s="56"/>
      <c r="BK2072" s="56"/>
      <c r="BL2072" s="56"/>
      <c r="BM2072" s="56"/>
      <c r="BN2072" s="56"/>
      <c r="BO2072" s="56"/>
      <c r="BP2072" s="56"/>
      <c r="BQ2072" s="56"/>
      <c r="BR2072" s="56"/>
      <c r="BS2072" s="56"/>
      <c r="BT2072" s="56"/>
      <c r="BU2072" s="56"/>
      <c r="BV2072" s="56"/>
      <c r="BW2072" s="56"/>
      <c r="BX2072" s="56"/>
      <c r="BY2072" s="56"/>
      <c r="BZ2072" s="56"/>
      <c r="CA2072" s="56"/>
      <c r="CB2072" s="56"/>
      <c r="CC2072" s="56"/>
      <c r="CD2072" s="56"/>
      <c r="CE2072" s="56"/>
      <c r="CF2072" s="56"/>
      <c r="CG2072" s="56"/>
      <c r="CH2072" s="56"/>
      <c r="CI2072" s="56"/>
      <c r="CJ2072" s="56"/>
      <c r="CK2072" s="56"/>
      <c r="CL2072" s="56"/>
      <c r="CM2072" s="56"/>
      <c r="CN2072" s="56"/>
      <c r="CO2072" s="56"/>
      <c r="CP2072" s="56"/>
      <c r="CQ2072" s="56"/>
      <c r="CR2072" s="56"/>
      <c r="CS2072" s="56"/>
      <c r="CT2072" s="56"/>
      <c r="CU2072" s="56"/>
      <c r="CV2072" s="56"/>
      <c r="CW2072" s="56"/>
      <c r="CX2072" s="56"/>
      <c r="CY2072" s="56"/>
      <c r="CZ2072" s="56"/>
      <c r="DA2072" s="56"/>
      <c r="DB2072" s="56"/>
      <c r="DC2072" s="56"/>
      <c r="DD2072" s="56"/>
      <c r="DE2072" s="56"/>
      <c r="DF2072" s="56"/>
      <c r="DG2072" s="56"/>
      <c r="DH2072" s="56"/>
      <c r="DI2072" s="56"/>
      <c r="DJ2072" s="56"/>
      <c r="DK2072" s="56"/>
      <c r="DL2072" s="56"/>
      <c r="DM2072" s="56"/>
      <c r="DN2072" s="56"/>
      <c r="DO2072" s="56"/>
      <c r="DP2072" s="56"/>
      <c r="DQ2072" s="56"/>
      <c r="DR2072" s="56"/>
      <c r="DS2072" s="56"/>
      <c r="DT2072" s="56"/>
      <c r="DU2072" s="56"/>
      <c r="DV2072" s="56"/>
      <c r="DW2072" s="56"/>
      <c r="DX2072" s="56"/>
      <c r="DY2072" s="56"/>
      <c r="DZ2072" s="56"/>
      <c r="EA2072" s="56"/>
      <c r="EB2072" s="56"/>
      <c r="EC2072" s="56"/>
      <c r="ED2072" s="56"/>
      <c r="EE2072" s="56"/>
      <c r="EF2072" s="56"/>
      <c r="EG2072" s="56"/>
      <c r="EH2072" s="56"/>
      <c r="EI2072" s="56"/>
      <c r="EJ2072" s="56"/>
      <c r="EK2072" s="56"/>
      <c r="EL2072" s="56"/>
      <c r="EM2072" s="56"/>
      <c r="EN2072" s="56"/>
      <c r="EO2072" s="56"/>
      <c r="EP2072" s="56"/>
      <c r="EQ2072" s="56"/>
      <c r="ER2072" s="56"/>
      <c r="ES2072" s="56"/>
      <c r="ET2072" s="56"/>
      <c r="EU2072" s="56"/>
      <c r="EV2072" s="56"/>
      <c r="EW2072" s="56"/>
      <c r="EX2072" s="56"/>
      <c r="EY2072" s="56"/>
      <c r="EZ2072" s="56"/>
      <c r="FA2072" s="56"/>
      <c r="FB2072" s="56"/>
      <c r="FC2072" s="56"/>
      <c r="FD2072" s="56"/>
      <c r="FE2072" s="56"/>
      <c r="FF2072" s="56"/>
      <c r="FG2072" s="56"/>
      <c r="FH2072" s="56"/>
      <c r="FI2072" s="56"/>
      <c r="FJ2072" s="56"/>
      <c r="FK2072" s="56"/>
      <c r="FL2072" s="56"/>
      <c r="FM2072" s="56"/>
      <c r="FN2072" s="56"/>
      <c r="FO2072" s="56"/>
      <c r="FP2072" s="56"/>
      <c r="FQ2072" s="56"/>
      <c r="FR2072" s="56"/>
      <c r="FS2072" s="56"/>
      <c r="FT2072" s="56"/>
      <c r="FU2072" s="56"/>
      <c r="FV2072" s="56"/>
      <c r="FW2072" s="56"/>
      <c r="FX2072" s="56"/>
      <c r="FY2072" s="56"/>
      <c r="FZ2072" s="56"/>
      <c r="GA2072" s="56"/>
      <c r="GB2072" s="56"/>
      <c r="GC2072" s="56"/>
      <c r="GD2072" s="56"/>
      <c r="GE2072" s="56"/>
      <c r="GF2072" s="56"/>
    </row>
    <row r="2073" spans="1:19" s="47" customFormat="1" ht="18" customHeight="1">
      <c r="A2073" s="50"/>
      <c r="B2073" s="93" t="s">
        <v>669</v>
      </c>
      <c r="C2073" s="94"/>
      <c r="D2073" s="60"/>
      <c r="E2073" s="60"/>
      <c r="F2073" s="60"/>
      <c r="G2073" s="60"/>
      <c r="H2073" s="60"/>
      <c r="I2073" s="60"/>
      <c r="J2073" s="60"/>
      <c r="K2073" s="60"/>
      <c r="L2073" s="60">
        <f>SUM(L2074:L2077)</f>
        <v>3</v>
      </c>
      <c r="M2073" s="60">
        <f>SUM(M2074:M2077)</f>
        <v>4</v>
      </c>
      <c r="N2073" s="60">
        <f>SUM(N2074:N2077)</f>
        <v>1</v>
      </c>
      <c r="O2073" s="60" t="s">
        <v>556</v>
      </c>
      <c r="P2073" s="60" t="s">
        <v>556</v>
      </c>
      <c r="Q2073" s="95"/>
      <c r="R2073" s="95"/>
      <c r="S2073" s="96"/>
    </row>
    <row r="2074" spans="1:19" s="48" customFormat="1" ht="18" customHeight="1">
      <c r="A2074" s="12"/>
      <c r="B2074" s="97" t="s">
        <v>629</v>
      </c>
      <c r="C2074" s="15" t="s">
        <v>787</v>
      </c>
      <c r="D2074" s="40"/>
      <c r="E2074" s="40"/>
      <c r="F2074" s="40"/>
      <c r="G2074" s="40">
        <v>3</v>
      </c>
      <c r="H2074" s="40">
        <v>3</v>
      </c>
      <c r="I2074" s="40">
        <v>3</v>
      </c>
      <c r="J2074" s="40">
        <v>3</v>
      </c>
      <c r="K2074" s="40">
        <v>3</v>
      </c>
      <c r="L2074" s="40">
        <v>1</v>
      </c>
      <c r="M2074" s="40">
        <v>1</v>
      </c>
      <c r="N2074" s="40" t="s">
        <v>556</v>
      </c>
      <c r="O2074" s="40" t="s">
        <v>556</v>
      </c>
      <c r="P2074" s="40" t="s">
        <v>556</v>
      </c>
      <c r="Q2074" s="68"/>
      <c r="R2074" s="68"/>
      <c r="S2074" s="68"/>
    </row>
    <row r="2075" spans="1:19" s="48" customFormat="1" ht="18" customHeight="1">
      <c r="A2075" s="12"/>
      <c r="B2075" s="97" t="s">
        <v>1351</v>
      </c>
      <c r="C2075" s="15" t="s">
        <v>1352</v>
      </c>
      <c r="D2075" s="40"/>
      <c r="E2075" s="40"/>
      <c r="F2075" s="40"/>
      <c r="G2075" s="40">
        <v>13</v>
      </c>
      <c r="H2075" s="40">
        <v>13</v>
      </c>
      <c r="I2075" s="40">
        <v>13</v>
      </c>
      <c r="J2075" s="40">
        <v>13</v>
      </c>
      <c r="K2075" s="40">
        <v>13</v>
      </c>
      <c r="L2075" s="40">
        <v>1</v>
      </c>
      <c r="M2075" s="40">
        <v>1</v>
      </c>
      <c r="N2075" s="40">
        <v>1</v>
      </c>
      <c r="O2075" s="40" t="s">
        <v>556</v>
      </c>
      <c r="P2075" s="40" t="s">
        <v>556</v>
      </c>
      <c r="Q2075" s="68"/>
      <c r="R2075" s="68"/>
      <c r="S2075" s="68"/>
    </row>
    <row r="2076" spans="1:19" s="48" customFormat="1" ht="18" customHeight="1">
      <c r="A2076" s="12"/>
      <c r="B2076" s="97" t="s">
        <v>448</v>
      </c>
      <c r="C2076" s="15" t="s">
        <v>449</v>
      </c>
      <c r="D2076" s="40"/>
      <c r="E2076" s="40"/>
      <c r="F2076" s="40"/>
      <c r="G2076" s="40">
        <v>13</v>
      </c>
      <c r="H2076" s="40">
        <v>13</v>
      </c>
      <c r="I2076" s="40">
        <v>13</v>
      </c>
      <c r="J2076" s="40">
        <v>13</v>
      </c>
      <c r="K2076" s="40">
        <v>13</v>
      </c>
      <c r="L2076" s="40">
        <v>1</v>
      </c>
      <c r="M2076" s="40">
        <v>1</v>
      </c>
      <c r="N2076" s="40" t="s">
        <v>556</v>
      </c>
      <c r="O2076" s="40" t="s">
        <v>556</v>
      </c>
      <c r="P2076" s="40" t="s">
        <v>556</v>
      </c>
      <c r="Q2076" s="68"/>
      <c r="R2076" s="68"/>
      <c r="S2076" s="68"/>
    </row>
    <row r="2077" spans="1:19" s="48" customFormat="1" ht="18" customHeight="1">
      <c r="A2077" s="12"/>
      <c r="B2077" s="97" t="s">
        <v>560</v>
      </c>
      <c r="C2077" s="29" t="s">
        <v>1319</v>
      </c>
      <c r="D2077" s="40"/>
      <c r="E2077" s="40"/>
      <c r="F2077" s="40"/>
      <c r="G2077" s="40">
        <v>5</v>
      </c>
      <c r="H2077" s="40">
        <v>5</v>
      </c>
      <c r="I2077" s="40">
        <v>5</v>
      </c>
      <c r="J2077" s="40">
        <v>5</v>
      </c>
      <c r="K2077" s="40">
        <v>5</v>
      </c>
      <c r="L2077" s="40" t="s">
        <v>556</v>
      </c>
      <c r="M2077" s="40">
        <v>1</v>
      </c>
      <c r="N2077" s="40" t="s">
        <v>556</v>
      </c>
      <c r="O2077" s="40" t="s">
        <v>556</v>
      </c>
      <c r="P2077" s="40" t="s">
        <v>556</v>
      </c>
      <c r="Q2077" s="68"/>
      <c r="R2077" s="68"/>
      <c r="S2077" s="68"/>
    </row>
    <row r="2078" spans="1:19" s="47" customFormat="1" ht="18" customHeight="1">
      <c r="A2078" s="50"/>
      <c r="B2078" s="93" t="s">
        <v>1336</v>
      </c>
      <c r="C2078" s="94"/>
      <c r="D2078" s="60"/>
      <c r="E2078" s="60"/>
      <c r="F2078" s="60"/>
      <c r="G2078" s="60"/>
      <c r="H2078" s="60"/>
      <c r="I2078" s="60"/>
      <c r="J2078" s="60"/>
      <c r="K2078" s="60"/>
      <c r="L2078" s="60" t="s">
        <v>556</v>
      </c>
      <c r="M2078" s="60" t="s">
        <v>556</v>
      </c>
      <c r="N2078" s="60" t="s">
        <v>556</v>
      </c>
      <c r="O2078" s="60">
        <v>1</v>
      </c>
      <c r="P2078" s="60" t="s">
        <v>556</v>
      </c>
      <c r="Q2078" s="95"/>
      <c r="R2078" s="95"/>
      <c r="S2078" s="96"/>
    </row>
    <row r="2079" spans="1:19" s="48" customFormat="1" ht="18" customHeight="1">
      <c r="A2079" s="12"/>
      <c r="B2079" s="97" t="s">
        <v>561</v>
      </c>
      <c r="C2079" s="66" t="s">
        <v>804</v>
      </c>
      <c r="D2079" s="40"/>
      <c r="E2079" s="40"/>
      <c r="F2079" s="40"/>
      <c r="G2079" s="40">
        <v>1</v>
      </c>
      <c r="H2079" s="40">
        <v>1</v>
      </c>
      <c r="I2079" s="40">
        <v>1</v>
      </c>
      <c r="J2079" s="40">
        <v>1</v>
      </c>
      <c r="K2079" s="40">
        <v>1</v>
      </c>
      <c r="L2079" s="40" t="s">
        <v>556</v>
      </c>
      <c r="M2079" s="40" t="s">
        <v>556</v>
      </c>
      <c r="N2079" s="40" t="s">
        <v>556</v>
      </c>
      <c r="O2079" s="40">
        <v>1</v>
      </c>
      <c r="P2079" s="40" t="s">
        <v>556</v>
      </c>
      <c r="Q2079" s="68"/>
      <c r="R2079" s="68"/>
      <c r="S2079" s="68"/>
    </row>
    <row r="2080" spans="1:19" s="47" customFormat="1" ht="18" customHeight="1">
      <c r="A2080" s="50"/>
      <c r="B2080" s="93" t="s">
        <v>801</v>
      </c>
      <c r="C2080" s="94"/>
      <c r="D2080" s="60"/>
      <c r="E2080" s="60"/>
      <c r="F2080" s="60"/>
      <c r="G2080" s="60"/>
      <c r="H2080" s="60"/>
      <c r="I2080" s="60"/>
      <c r="J2080" s="60"/>
      <c r="K2080" s="60"/>
      <c r="L2080" s="60" t="s">
        <v>556</v>
      </c>
      <c r="M2080" s="60">
        <v>1</v>
      </c>
      <c r="N2080" s="60" t="s">
        <v>556</v>
      </c>
      <c r="O2080" s="60">
        <v>1</v>
      </c>
      <c r="P2080" s="60" t="s">
        <v>556</v>
      </c>
      <c r="Q2080" s="95"/>
      <c r="R2080" s="95"/>
      <c r="S2080" s="96"/>
    </row>
    <row r="2081" spans="1:19" s="48" customFormat="1" ht="18" customHeight="1">
      <c r="A2081" s="12"/>
      <c r="B2081" s="106" t="s">
        <v>1045</v>
      </c>
      <c r="C2081" s="66" t="s">
        <v>1046</v>
      </c>
      <c r="D2081" s="40"/>
      <c r="E2081" s="40"/>
      <c r="F2081" s="40">
        <v>4</v>
      </c>
      <c r="G2081" s="40">
        <v>1</v>
      </c>
      <c r="H2081" s="40">
        <v>1</v>
      </c>
      <c r="I2081" s="40">
        <v>1</v>
      </c>
      <c r="J2081" s="40">
        <v>1</v>
      </c>
      <c r="K2081" s="40">
        <v>1</v>
      </c>
      <c r="L2081" s="40" t="s">
        <v>556</v>
      </c>
      <c r="M2081" s="40">
        <v>1</v>
      </c>
      <c r="N2081" s="40" t="s">
        <v>556</v>
      </c>
      <c r="O2081" s="40" t="s">
        <v>556</v>
      </c>
      <c r="P2081" s="40" t="s">
        <v>556</v>
      </c>
      <c r="Q2081" s="68"/>
      <c r="R2081" s="68"/>
      <c r="S2081" s="68"/>
    </row>
    <row r="2082" spans="1:19" s="48" customFormat="1" ht="18" customHeight="1">
      <c r="A2082" s="12"/>
      <c r="B2082" s="106" t="s">
        <v>802</v>
      </c>
      <c r="C2082" s="66" t="s">
        <v>803</v>
      </c>
      <c r="D2082" s="40"/>
      <c r="E2082" s="40"/>
      <c r="F2082" s="40"/>
      <c r="G2082" s="40">
        <v>1</v>
      </c>
      <c r="H2082" s="40">
        <v>1</v>
      </c>
      <c r="I2082" s="40">
        <v>1</v>
      </c>
      <c r="J2082" s="40">
        <v>1</v>
      </c>
      <c r="K2082" s="40">
        <v>1</v>
      </c>
      <c r="L2082" s="40" t="s">
        <v>556</v>
      </c>
      <c r="M2082" s="40" t="s">
        <v>556</v>
      </c>
      <c r="N2082" s="40" t="s">
        <v>556</v>
      </c>
      <c r="O2082" s="40">
        <v>1</v>
      </c>
      <c r="P2082" s="40" t="s">
        <v>556</v>
      </c>
      <c r="Q2082" s="68"/>
      <c r="R2082" s="68"/>
      <c r="S2082" s="68"/>
    </row>
    <row r="2083" spans="1:188" s="57" customFormat="1" ht="18" customHeight="1">
      <c r="A2083" s="13">
        <v>41</v>
      </c>
      <c r="B2083" s="92" t="s">
        <v>1354</v>
      </c>
      <c r="C2083" s="45"/>
      <c r="D2083" s="44">
        <v>31</v>
      </c>
      <c r="E2083" s="44">
        <v>4</v>
      </c>
      <c r="F2083" s="44"/>
      <c r="G2083" s="44">
        <v>37</v>
      </c>
      <c r="H2083" s="44">
        <v>37</v>
      </c>
      <c r="I2083" s="44">
        <v>37</v>
      </c>
      <c r="J2083" s="44">
        <v>37</v>
      </c>
      <c r="K2083" s="44">
        <v>37</v>
      </c>
      <c r="L2083" s="44">
        <v>2</v>
      </c>
      <c r="M2083" s="44" t="s">
        <v>556</v>
      </c>
      <c r="N2083" s="44" t="s">
        <v>556</v>
      </c>
      <c r="O2083" s="44" t="s">
        <v>556</v>
      </c>
      <c r="P2083" s="44" t="s">
        <v>556</v>
      </c>
      <c r="Q2083" s="54" t="s">
        <v>648</v>
      </c>
      <c r="R2083" s="54">
        <v>16</v>
      </c>
      <c r="S2083" s="55" t="s">
        <v>1291</v>
      </c>
      <c r="T2083" s="56"/>
      <c r="U2083" s="56"/>
      <c r="V2083" s="56"/>
      <c r="W2083" s="56"/>
      <c r="X2083" s="56"/>
      <c r="Y2083" s="56"/>
      <c r="Z2083" s="56"/>
      <c r="AA2083" s="56"/>
      <c r="AB2083" s="56"/>
      <c r="AC2083" s="56"/>
      <c r="AD2083" s="56"/>
      <c r="AE2083" s="56"/>
      <c r="AF2083" s="56"/>
      <c r="AG2083" s="56"/>
      <c r="AH2083" s="56"/>
      <c r="AI2083" s="56"/>
      <c r="AJ2083" s="56"/>
      <c r="AK2083" s="56"/>
      <c r="AL2083" s="56"/>
      <c r="AM2083" s="56"/>
      <c r="AN2083" s="56"/>
      <c r="AO2083" s="56"/>
      <c r="AP2083" s="56"/>
      <c r="AQ2083" s="56"/>
      <c r="AR2083" s="56"/>
      <c r="AS2083" s="56"/>
      <c r="AT2083" s="56"/>
      <c r="AU2083" s="56"/>
      <c r="AV2083" s="56"/>
      <c r="AW2083" s="56"/>
      <c r="AX2083" s="56"/>
      <c r="AY2083" s="56"/>
      <c r="AZ2083" s="56"/>
      <c r="BA2083" s="56"/>
      <c r="BB2083" s="56"/>
      <c r="BC2083" s="56"/>
      <c r="BD2083" s="56"/>
      <c r="BE2083" s="56"/>
      <c r="BF2083" s="56"/>
      <c r="BG2083" s="56"/>
      <c r="BH2083" s="56"/>
      <c r="BI2083" s="56"/>
      <c r="BJ2083" s="56"/>
      <c r="BK2083" s="56"/>
      <c r="BL2083" s="56"/>
      <c r="BM2083" s="56"/>
      <c r="BN2083" s="56"/>
      <c r="BO2083" s="56"/>
      <c r="BP2083" s="56"/>
      <c r="BQ2083" s="56"/>
      <c r="BR2083" s="56"/>
      <c r="BS2083" s="56"/>
      <c r="BT2083" s="56"/>
      <c r="BU2083" s="56"/>
      <c r="BV2083" s="56"/>
      <c r="BW2083" s="56"/>
      <c r="BX2083" s="56"/>
      <c r="BY2083" s="56"/>
      <c r="BZ2083" s="56"/>
      <c r="CA2083" s="56"/>
      <c r="CB2083" s="56"/>
      <c r="CC2083" s="56"/>
      <c r="CD2083" s="56"/>
      <c r="CE2083" s="56"/>
      <c r="CF2083" s="56"/>
      <c r="CG2083" s="56"/>
      <c r="CH2083" s="56"/>
      <c r="CI2083" s="56"/>
      <c r="CJ2083" s="56"/>
      <c r="CK2083" s="56"/>
      <c r="CL2083" s="56"/>
      <c r="CM2083" s="56"/>
      <c r="CN2083" s="56"/>
      <c r="CO2083" s="56"/>
      <c r="CP2083" s="56"/>
      <c r="CQ2083" s="56"/>
      <c r="CR2083" s="56"/>
      <c r="CS2083" s="56"/>
      <c r="CT2083" s="56"/>
      <c r="CU2083" s="56"/>
      <c r="CV2083" s="56"/>
      <c r="CW2083" s="56"/>
      <c r="CX2083" s="56"/>
      <c r="CY2083" s="56"/>
      <c r="CZ2083" s="56"/>
      <c r="DA2083" s="56"/>
      <c r="DB2083" s="56"/>
      <c r="DC2083" s="56"/>
      <c r="DD2083" s="56"/>
      <c r="DE2083" s="56"/>
      <c r="DF2083" s="56"/>
      <c r="DG2083" s="56"/>
      <c r="DH2083" s="56"/>
      <c r="DI2083" s="56"/>
      <c r="DJ2083" s="56"/>
      <c r="DK2083" s="56"/>
      <c r="DL2083" s="56"/>
      <c r="DM2083" s="56"/>
      <c r="DN2083" s="56"/>
      <c r="DO2083" s="56"/>
      <c r="DP2083" s="56"/>
      <c r="DQ2083" s="56"/>
      <c r="DR2083" s="56"/>
      <c r="DS2083" s="56"/>
      <c r="DT2083" s="56"/>
      <c r="DU2083" s="56"/>
      <c r="DV2083" s="56"/>
      <c r="DW2083" s="56"/>
      <c r="DX2083" s="56"/>
      <c r="DY2083" s="56"/>
      <c r="DZ2083" s="56"/>
      <c r="EA2083" s="56"/>
      <c r="EB2083" s="56"/>
      <c r="EC2083" s="56"/>
      <c r="ED2083" s="56"/>
      <c r="EE2083" s="56"/>
      <c r="EF2083" s="56"/>
      <c r="EG2083" s="56"/>
      <c r="EH2083" s="56"/>
      <c r="EI2083" s="56"/>
      <c r="EJ2083" s="56"/>
      <c r="EK2083" s="56"/>
      <c r="EL2083" s="56"/>
      <c r="EM2083" s="56"/>
      <c r="EN2083" s="56"/>
      <c r="EO2083" s="56"/>
      <c r="EP2083" s="56"/>
      <c r="EQ2083" s="56"/>
      <c r="ER2083" s="56"/>
      <c r="ES2083" s="56"/>
      <c r="ET2083" s="56"/>
      <c r="EU2083" s="56"/>
      <c r="EV2083" s="56"/>
      <c r="EW2083" s="56"/>
      <c r="EX2083" s="56"/>
      <c r="EY2083" s="56"/>
      <c r="EZ2083" s="56"/>
      <c r="FA2083" s="56"/>
      <c r="FB2083" s="56"/>
      <c r="FC2083" s="56"/>
      <c r="FD2083" s="56"/>
      <c r="FE2083" s="56"/>
      <c r="FF2083" s="56"/>
      <c r="FG2083" s="56"/>
      <c r="FH2083" s="56"/>
      <c r="FI2083" s="56"/>
      <c r="FJ2083" s="56"/>
      <c r="FK2083" s="56"/>
      <c r="FL2083" s="56"/>
      <c r="FM2083" s="56"/>
      <c r="FN2083" s="56"/>
      <c r="FO2083" s="56"/>
      <c r="FP2083" s="56"/>
      <c r="FQ2083" s="56"/>
      <c r="FR2083" s="56"/>
      <c r="FS2083" s="56"/>
      <c r="FT2083" s="56"/>
      <c r="FU2083" s="56"/>
      <c r="FV2083" s="56"/>
      <c r="FW2083" s="56"/>
      <c r="FX2083" s="56"/>
      <c r="FY2083" s="56"/>
      <c r="FZ2083" s="56"/>
      <c r="GA2083" s="56"/>
      <c r="GB2083" s="56"/>
      <c r="GC2083" s="56"/>
      <c r="GD2083" s="56"/>
      <c r="GE2083" s="56"/>
      <c r="GF2083" s="56"/>
    </row>
    <row r="2084" spans="1:19" s="47" customFormat="1" ht="18" customHeight="1">
      <c r="A2084" s="50"/>
      <c r="B2084" s="93" t="s">
        <v>669</v>
      </c>
      <c r="C2084" s="94"/>
      <c r="D2084" s="60"/>
      <c r="E2084" s="60"/>
      <c r="F2084" s="60"/>
      <c r="G2084" s="60"/>
      <c r="H2084" s="60"/>
      <c r="I2084" s="60"/>
      <c r="J2084" s="60"/>
      <c r="K2084" s="60"/>
      <c r="L2084" s="60">
        <v>1</v>
      </c>
      <c r="M2084" s="60" t="s">
        <v>556</v>
      </c>
      <c r="N2084" s="60" t="s">
        <v>556</v>
      </c>
      <c r="O2084" s="60" t="s">
        <v>556</v>
      </c>
      <c r="P2084" s="60" t="s">
        <v>556</v>
      </c>
      <c r="Q2084" s="95"/>
      <c r="R2084" s="95"/>
      <c r="S2084" s="96"/>
    </row>
    <row r="2085" spans="1:19" s="48" customFormat="1" ht="18" customHeight="1">
      <c r="A2085" s="12"/>
      <c r="B2085" s="97" t="s">
        <v>897</v>
      </c>
      <c r="C2085" s="15" t="s">
        <v>898</v>
      </c>
      <c r="D2085" s="40"/>
      <c r="E2085" s="40"/>
      <c r="F2085" s="40"/>
      <c r="G2085" s="40">
        <v>3</v>
      </c>
      <c r="H2085" s="40">
        <v>3</v>
      </c>
      <c r="I2085" s="40">
        <v>3</v>
      </c>
      <c r="J2085" s="40">
        <v>3</v>
      </c>
      <c r="K2085" s="40">
        <v>3</v>
      </c>
      <c r="L2085" s="40">
        <v>1</v>
      </c>
      <c r="M2085" s="40" t="s">
        <v>556</v>
      </c>
      <c r="N2085" s="40" t="s">
        <v>556</v>
      </c>
      <c r="O2085" s="40" t="s">
        <v>556</v>
      </c>
      <c r="P2085" s="40" t="s">
        <v>556</v>
      </c>
      <c r="Q2085" s="68"/>
      <c r="R2085" s="68"/>
      <c r="S2085" s="68"/>
    </row>
    <row r="2086" spans="1:19" s="47" customFormat="1" ht="18" customHeight="1">
      <c r="A2086" s="50"/>
      <c r="B2086" s="93" t="s">
        <v>1336</v>
      </c>
      <c r="C2086" s="94"/>
      <c r="D2086" s="60"/>
      <c r="E2086" s="60"/>
      <c r="F2086" s="60"/>
      <c r="G2086" s="60"/>
      <c r="H2086" s="60"/>
      <c r="I2086" s="60"/>
      <c r="J2086" s="60"/>
      <c r="K2086" s="60"/>
      <c r="L2086" s="60">
        <v>1</v>
      </c>
      <c r="M2086" s="60" t="s">
        <v>556</v>
      </c>
      <c r="N2086" s="60" t="s">
        <v>556</v>
      </c>
      <c r="O2086" s="60" t="s">
        <v>556</v>
      </c>
      <c r="P2086" s="60" t="s">
        <v>556</v>
      </c>
      <c r="Q2086" s="95"/>
      <c r="R2086" s="95"/>
      <c r="S2086" s="96"/>
    </row>
    <row r="2087" spans="1:19" s="48" customFormat="1" ht="18" customHeight="1">
      <c r="A2087" s="12"/>
      <c r="B2087" s="97" t="s">
        <v>1290</v>
      </c>
      <c r="C2087" s="15" t="s">
        <v>1289</v>
      </c>
      <c r="D2087" s="40"/>
      <c r="E2087" s="40"/>
      <c r="F2087" s="40"/>
      <c r="G2087" s="40">
        <v>1</v>
      </c>
      <c r="H2087" s="40">
        <v>1</v>
      </c>
      <c r="I2087" s="40">
        <v>1</v>
      </c>
      <c r="J2087" s="40">
        <v>1</v>
      </c>
      <c r="K2087" s="40">
        <v>1</v>
      </c>
      <c r="L2087" s="40">
        <v>1</v>
      </c>
      <c r="M2087" s="40" t="s">
        <v>556</v>
      </c>
      <c r="N2087" s="40" t="s">
        <v>556</v>
      </c>
      <c r="O2087" s="40" t="s">
        <v>556</v>
      </c>
      <c r="P2087" s="40" t="s">
        <v>556</v>
      </c>
      <c r="Q2087" s="68"/>
      <c r="R2087" s="68"/>
      <c r="S2087" s="68"/>
    </row>
    <row r="2088" spans="1:188" s="57" customFormat="1" ht="18" customHeight="1">
      <c r="A2088" s="13">
        <v>42</v>
      </c>
      <c r="B2088" s="92" t="s">
        <v>956</v>
      </c>
      <c r="C2088" s="45"/>
      <c r="D2088" s="44"/>
      <c r="E2088" s="44"/>
      <c r="F2088" s="44"/>
      <c r="G2088" s="44">
        <v>37</v>
      </c>
      <c r="H2088" s="44">
        <v>37</v>
      </c>
      <c r="I2088" s="44">
        <v>37</v>
      </c>
      <c r="J2088" s="44">
        <v>37</v>
      </c>
      <c r="K2088" s="44">
        <v>37</v>
      </c>
      <c r="L2088" s="44" t="s">
        <v>556</v>
      </c>
      <c r="M2088" s="44" t="s">
        <v>556</v>
      </c>
      <c r="N2088" s="44" t="s">
        <v>556</v>
      </c>
      <c r="O2088" s="44" t="s">
        <v>556</v>
      </c>
      <c r="P2088" s="44">
        <v>3</v>
      </c>
      <c r="Q2088" s="54" t="s">
        <v>648</v>
      </c>
      <c r="R2088" s="54">
        <v>16</v>
      </c>
      <c r="S2088" s="55" t="s">
        <v>1291</v>
      </c>
      <c r="T2088" s="56"/>
      <c r="U2088" s="56"/>
      <c r="V2088" s="56"/>
      <c r="W2088" s="56"/>
      <c r="X2088" s="56"/>
      <c r="Y2088" s="56"/>
      <c r="Z2088" s="56"/>
      <c r="AA2088" s="56"/>
      <c r="AB2088" s="56"/>
      <c r="AC2088" s="56"/>
      <c r="AD2088" s="56"/>
      <c r="AE2088" s="56"/>
      <c r="AF2088" s="56"/>
      <c r="AG2088" s="56"/>
      <c r="AH2088" s="56"/>
      <c r="AI2088" s="56"/>
      <c r="AJ2088" s="56"/>
      <c r="AK2088" s="56"/>
      <c r="AL2088" s="56"/>
      <c r="AM2088" s="56"/>
      <c r="AN2088" s="56"/>
      <c r="AO2088" s="56"/>
      <c r="AP2088" s="56"/>
      <c r="AQ2088" s="56"/>
      <c r="AR2088" s="56"/>
      <c r="AS2088" s="56"/>
      <c r="AT2088" s="56"/>
      <c r="AU2088" s="56"/>
      <c r="AV2088" s="56"/>
      <c r="AW2088" s="56"/>
      <c r="AX2088" s="56"/>
      <c r="AY2088" s="56"/>
      <c r="AZ2088" s="56"/>
      <c r="BA2088" s="56"/>
      <c r="BB2088" s="56"/>
      <c r="BC2088" s="56"/>
      <c r="BD2088" s="56"/>
      <c r="BE2088" s="56"/>
      <c r="BF2088" s="56"/>
      <c r="BG2088" s="56"/>
      <c r="BH2088" s="56"/>
      <c r="BI2088" s="56"/>
      <c r="BJ2088" s="56"/>
      <c r="BK2088" s="56"/>
      <c r="BL2088" s="56"/>
      <c r="BM2088" s="56"/>
      <c r="BN2088" s="56"/>
      <c r="BO2088" s="56"/>
      <c r="BP2088" s="56"/>
      <c r="BQ2088" s="56"/>
      <c r="BR2088" s="56"/>
      <c r="BS2088" s="56"/>
      <c r="BT2088" s="56"/>
      <c r="BU2088" s="56"/>
      <c r="BV2088" s="56"/>
      <c r="BW2088" s="56"/>
      <c r="BX2088" s="56"/>
      <c r="BY2088" s="56"/>
      <c r="BZ2088" s="56"/>
      <c r="CA2088" s="56"/>
      <c r="CB2088" s="56"/>
      <c r="CC2088" s="56"/>
      <c r="CD2088" s="56"/>
      <c r="CE2088" s="56"/>
      <c r="CF2088" s="56"/>
      <c r="CG2088" s="56"/>
      <c r="CH2088" s="56"/>
      <c r="CI2088" s="56"/>
      <c r="CJ2088" s="56"/>
      <c r="CK2088" s="56"/>
      <c r="CL2088" s="56"/>
      <c r="CM2088" s="56"/>
      <c r="CN2088" s="56"/>
      <c r="CO2088" s="56"/>
      <c r="CP2088" s="56"/>
      <c r="CQ2088" s="56"/>
      <c r="CR2088" s="56"/>
      <c r="CS2088" s="56"/>
      <c r="CT2088" s="56"/>
      <c r="CU2088" s="56"/>
      <c r="CV2088" s="56"/>
      <c r="CW2088" s="56"/>
      <c r="CX2088" s="56"/>
      <c r="CY2088" s="56"/>
      <c r="CZ2088" s="56"/>
      <c r="DA2088" s="56"/>
      <c r="DB2088" s="56"/>
      <c r="DC2088" s="56"/>
      <c r="DD2088" s="56"/>
      <c r="DE2088" s="56"/>
      <c r="DF2088" s="56"/>
      <c r="DG2088" s="56"/>
      <c r="DH2088" s="56"/>
      <c r="DI2088" s="56"/>
      <c r="DJ2088" s="56"/>
      <c r="DK2088" s="56"/>
      <c r="DL2088" s="56"/>
      <c r="DM2088" s="56"/>
      <c r="DN2088" s="56"/>
      <c r="DO2088" s="56"/>
      <c r="DP2088" s="56"/>
      <c r="DQ2088" s="56"/>
      <c r="DR2088" s="56"/>
      <c r="DS2088" s="56"/>
      <c r="DT2088" s="56"/>
      <c r="DU2088" s="56"/>
      <c r="DV2088" s="56"/>
      <c r="DW2088" s="56"/>
      <c r="DX2088" s="56"/>
      <c r="DY2088" s="56"/>
      <c r="DZ2088" s="56"/>
      <c r="EA2088" s="56"/>
      <c r="EB2088" s="56"/>
      <c r="EC2088" s="56"/>
      <c r="ED2088" s="56"/>
      <c r="EE2088" s="56"/>
      <c r="EF2088" s="56"/>
      <c r="EG2088" s="56"/>
      <c r="EH2088" s="56"/>
      <c r="EI2088" s="56"/>
      <c r="EJ2088" s="56"/>
      <c r="EK2088" s="56"/>
      <c r="EL2088" s="56"/>
      <c r="EM2088" s="56"/>
      <c r="EN2088" s="56"/>
      <c r="EO2088" s="56"/>
      <c r="EP2088" s="56"/>
      <c r="EQ2088" s="56"/>
      <c r="ER2088" s="56"/>
      <c r="ES2088" s="56"/>
      <c r="ET2088" s="56"/>
      <c r="EU2088" s="56"/>
      <c r="EV2088" s="56"/>
      <c r="EW2088" s="56"/>
      <c r="EX2088" s="56"/>
      <c r="EY2088" s="56"/>
      <c r="EZ2088" s="56"/>
      <c r="FA2088" s="56"/>
      <c r="FB2088" s="56"/>
      <c r="FC2088" s="56"/>
      <c r="FD2088" s="56"/>
      <c r="FE2088" s="56"/>
      <c r="FF2088" s="56"/>
      <c r="FG2088" s="56"/>
      <c r="FH2088" s="56"/>
      <c r="FI2088" s="56"/>
      <c r="FJ2088" s="56"/>
      <c r="FK2088" s="56"/>
      <c r="FL2088" s="56"/>
      <c r="FM2088" s="56"/>
      <c r="FN2088" s="56"/>
      <c r="FO2088" s="56"/>
      <c r="FP2088" s="56"/>
      <c r="FQ2088" s="56"/>
      <c r="FR2088" s="56"/>
      <c r="FS2088" s="56"/>
      <c r="FT2088" s="56"/>
      <c r="FU2088" s="56"/>
      <c r="FV2088" s="56"/>
      <c r="FW2088" s="56"/>
      <c r="FX2088" s="56"/>
      <c r="FY2088" s="56"/>
      <c r="FZ2088" s="56"/>
      <c r="GA2088" s="56"/>
      <c r="GB2088" s="56"/>
      <c r="GC2088" s="56"/>
      <c r="GD2088" s="56"/>
      <c r="GE2088" s="56"/>
      <c r="GF2088" s="56"/>
    </row>
    <row r="2089" spans="1:19" s="47" customFormat="1" ht="18" customHeight="1">
      <c r="A2089" s="50"/>
      <c r="B2089" s="93" t="s">
        <v>669</v>
      </c>
      <c r="C2089" s="94"/>
      <c r="D2089" s="60"/>
      <c r="E2089" s="60"/>
      <c r="F2089" s="60"/>
      <c r="G2089" s="60"/>
      <c r="H2089" s="60"/>
      <c r="I2089" s="60"/>
      <c r="J2089" s="60"/>
      <c r="K2089" s="60"/>
      <c r="L2089" s="60" t="s">
        <v>556</v>
      </c>
      <c r="M2089" s="60" t="s">
        <v>556</v>
      </c>
      <c r="N2089" s="60" t="s">
        <v>556</v>
      </c>
      <c r="O2089" s="60" t="s">
        <v>556</v>
      </c>
      <c r="P2089" s="60">
        <v>3</v>
      </c>
      <c r="Q2089" s="95"/>
      <c r="R2089" s="95"/>
      <c r="S2089" s="96"/>
    </row>
    <row r="2090" spans="1:19" s="48" customFormat="1" ht="18" customHeight="1">
      <c r="A2090" s="12"/>
      <c r="B2090" s="97" t="s">
        <v>1316</v>
      </c>
      <c r="C2090" s="29" t="s">
        <v>1317</v>
      </c>
      <c r="D2090" s="40"/>
      <c r="E2090" s="40"/>
      <c r="F2090" s="40"/>
      <c r="G2090" s="40">
        <v>3</v>
      </c>
      <c r="H2090" s="40">
        <v>3</v>
      </c>
      <c r="I2090" s="40">
        <v>3</v>
      </c>
      <c r="J2090" s="40">
        <v>3</v>
      </c>
      <c r="K2090" s="40">
        <v>3</v>
      </c>
      <c r="L2090" s="40" t="s">
        <v>556</v>
      </c>
      <c r="M2090" s="40" t="s">
        <v>556</v>
      </c>
      <c r="N2090" s="40" t="s">
        <v>556</v>
      </c>
      <c r="O2090" s="40" t="s">
        <v>556</v>
      </c>
      <c r="P2090" s="40">
        <v>2</v>
      </c>
      <c r="Q2090" s="68"/>
      <c r="R2090" s="68"/>
      <c r="S2090" s="68"/>
    </row>
    <row r="2091" spans="1:19" s="48" customFormat="1" ht="18" customHeight="1">
      <c r="A2091" s="12"/>
      <c r="B2091" s="97" t="s">
        <v>1304</v>
      </c>
      <c r="C2091" s="29" t="s">
        <v>1305</v>
      </c>
      <c r="D2091" s="40"/>
      <c r="E2091" s="40"/>
      <c r="F2091" s="40"/>
      <c r="G2091" s="40">
        <v>1</v>
      </c>
      <c r="H2091" s="40">
        <v>1</v>
      </c>
      <c r="I2091" s="40">
        <v>1</v>
      </c>
      <c r="J2091" s="40">
        <v>1</v>
      </c>
      <c r="K2091" s="40">
        <v>1</v>
      </c>
      <c r="L2091" s="40" t="s">
        <v>556</v>
      </c>
      <c r="M2091" s="40" t="s">
        <v>556</v>
      </c>
      <c r="N2091" s="40" t="s">
        <v>556</v>
      </c>
      <c r="O2091" s="40" t="s">
        <v>556</v>
      </c>
      <c r="P2091" s="40">
        <v>1</v>
      </c>
      <c r="Q2091" s="68"/>
      <c r="R2091" s="68"/>
      <c r="S2091" s="68"/>
    </row>
    <row r="2092" spans="1:188" s="57" customFormat="1" ht="18" customHeight="1">
      <c r="A2092" s="13">
        <v>43</v>
      </c>
      <c r="B2092" s="92" t="s">
        <v>1360</v>
      </c>
      <c r="C2092" s="45"/>
      <c r="D2092" s="44">
        <v>79</v>
      </c>
      <c r="E2092" s="44">
        <v>18</v>
      </c>
      <c r="F2092" s="44"/>
      <c r="G2092" s="44">
        <v>79</v>
      </c>
      <c r="H2092" s="44">
        <v>79</v>
      </c>
      <c r="I2092" s="44">
        <v>79</v>
      </c>
      <c r="J2092" s="44">
        <v>79</v>
      </c>
      <c r="K2092" s="44">
        <v>79</v>
      </c>
      <c r="L2092" s="44">
        <f>SUM(L2093,L2098,L2100)</f>
        <v>5</v>
      </c>
      <c r="M2092" s="44">
        <f>SUM(M2093,M2098,M2100)</f>
        <v>2</v>
      </c>
      <c r="N2092" s="44">
        <f>SUM(N2093,N2098,N2100)</f>
        <v>3</v>
      </c>
      <c r="O2092" s="44">
        <f>SUM(O2093,O2098,O2100)</f>
        <v>1</v>
      </c>
      <c r="P2092" s="44">
        <f>SUM(P2093,P2098,P2100)</f>
        <v>1</v>
      </c>
      <c r="Q2092" s="54" t="s">
        <v>648</v>
      </c>
      <c r="R2092" s="54">
        <v>16</v>
      </c>
      <c r="S2092" s="55" t="s">
        <v>1291</v>
      </c>
      <c r="T2092" s="56"/>
      <c r="U2092" s="56"/>
      <c r="V2092" s="56"/>
      <c r="W2092" s="56"/>
      <c r="X2092" s="56"/>
      <c r="Y2092" s="56"/>
      <c r="Z2092" s="56"/>
      <c r="AA2092" s="56"/>
      <c r="AB2092" s="56"/>
      <c r="AC2092" s="56"/>
      <c r="AD2092" s="56"/>
      <c r="AE2092" s="56"/>
      <c r="AF2092" s="56"/>
      <c r="AG2092" s="56"/>
      <c r="AH2092" s="56"/>
      <c r="AI2092" s="56"/>
      <c r="AJ2092" s="56"/>
      <c r="AK2092" s="56"/>
      <c r="AL2092" s="56"/>
      <c r="AM2092" s="56"/>
      <c r="AN2092" s="56"/>
      <c r="AO2092" s="56"/>
      <c r="AP2092" s="56"/>
      <c r="AQ2092" s="56"/>
      <c r="AR2092" s="56"/>
      <c r="AS2092" s="56"/>
      <c r="AT2092" s="56"/>
      <c r="AU2092" s="56"/>
      <c r="AV2092" s="56"/>
      <c r="AW2092" s="56"/>
      <c r="AX2092" s="56"/>
      <c r="AY2092" s="56"/>
      <c r="AZ2092" s="56"/>
      <c r="BA2092" s="56"/>
      <c r="BB2092" s="56"/>
      <c r="BC2092" s="56"/>
      <c r="BD2092" s="56"/>
      <c r="BE2092" s="56"/>
      <c r="BF2092" s="56"/>
      <c r="BG2092" s="56"/>
      <c r="BH2092" s="56"/>
      <c r="BI2092" s="56"/>
      <c r="BJ2092" s="56"/>
      <c r="BK2092" s="56"/>
      <c r="BL2092" s="56"/>
      <c r="BM2092" s="56"/>
      <c r="BN2092" s="56"/>
      <c r="BO2092" s="56"/>
      <c r="BP2092" s="56"/>
      <c r="BQ2092" s="56"/>
      <c r="BR2092" s="56"/>
      <c r="BS2092" s="56"/>
      <c r="BT2092" s="56"/>
      <c r="BU2092" s="56"/>
      <c r="BV2092" s="56"/>
      <c r="BW2092" s="56"/>
      <c r="BX2092" s="56"/>
      <c r="BY2092" s="56"/>
      <c r="BZ2092" s="56"/>
      <c r="CA2092" s="56"/>
      <c r="CB2092" s="56"/>
      <c r="CC2092" s="56"/>
      <c r="CD2092" s="56"/>
      <c r="CE2092" s="56"/>
      <c r="CF2092" s="56"/>
      <c r="CG2092" s="56"/>
      <c r="CH2092" s="56"/>
      <c r="CI2092" s="56"/>
      <c r="CJ2092" s="56"/>
      <c r="CK2092" s="56"/>
      <c r="CL2092" s="56"/>
      <c r="CM2092" s="56"/>
      <c r="CN2092" s="56"/>
      <c r="CO2092" s="56"/>
      <c r="CP2092" s="56"/>
      <c r="CQ2092" s="56"/>
      <c r="CR2092" s="56"/>
      <c r="CS2092" s="56"/>
      <c r="CT2092" s="56"/>
      <c r="CU2092" s="56"/>
      <c r="CV2092" s="56"/>
      <c r="CW2092" s="56"/>
      <c r="CX2092" s="56"/>
      <c r="CY2092" s="56"/>
      <c r="CZ2092" s="56"/>
      <c r="DA2092" s="56"/>
      <c r="DB2092" s="56"/>
      <c r="DC2092" s="56"/>
      <c r="DD2092" s="56"/>
      <c r="DE2092" s="56"/>
      <c r="DF2092" s="56"/>
      <c r="DG2092" s="56"/>
      <c r="DH2092" s="56"/>
      <c r="DI2092" s="56"/>
      <c r="DJ2092" s="56"/>
      <c r="DK2092" s="56"/>
      <c r="DL2092" s="56"/>
      <c r="DM2092" s="56"/>
      <c r="DN2092" s="56"/>
      <c r="DO2092" s="56"/>
      <c r="DP2092" s="56"/>
      <c r="DQ2092" s="56"/>
      <c r="DR2092" s="56"/>
      <c r="DS2092" s="56"/>
      <c r="DT2092" s="56"/>
      <c r="DU2092" s="56"/>
      <c r="DV2092" s="56"/>
      <c r="DW2092" s="56"/>
      <c r="DX2092" s="56"/>
      <c r="DY2092" s="56"/>
      <c r="DZ2092" s="56"/>
      <c r="EA2092" s="56"/>
      <c r="EB2092" s="56"/>
      <c r="EC2092" s="56"/>
      <c r="ED2092" s="56"/>
      <c r="EE2092" s="56"/>
      <c r="EF2092" s="56"/>
      <c r="EG2092" s="56"/>
      <c r="EH2092" s="56"/>
      <c r="EI2092" s="56"/>
      <c r="EJ2092" s="56"/>
      <c r="EK2092" s="56"/>
      <c r="EL2092" s="56"/>
      <c r="EM2092" s="56"/>
      <c r="EN2092" s="56"/>
      <c r="EO2092" s="56"/>
      <c r="EP2092" s="56"/>
      <c r="EQ2092" s="56"/>
      <c r="ER2092" s="56"/>
      <c r="ES2092" s="56"/>
      <c r="ET2092" s="56"/>
      <c r="EU2092" s="56"/>
      <c r="EV2092" s="56"/>
      <c r="EW2092" s="56"/>
      <c r="EX2092" s="56"/>
      <c r="EY2092" s="56"/>
      <c r="EZ2092" s="56"/>
      <c r="FA2092" s="56"/>
      <c r="FB2092" s="56"/>
      <c r="FC2092" s="56"/>
      <c r="FD2092" s="56"/>
      <c r="FE2092" s="56"/>
      <c r="FF2092" s="56"/>
      <c r="FG2092" s="56"/>
      <c r="FH2092" s="56"/>
      <c r="FI2092" s="56"/>
      <c r="FJ2092" s="56"/>
      <c r="FK2092" s="56"/>
      <c r="FL2092" s="56"/>
      <c r="FM2092" s="56"/>
      <c r="FN2092" s="56"/>
      <c r="FO2092" s="56"/>
      <c r="FP2092" s="56"/>
      <c r="FQ2092" s="56"/>
      <c r="FR2092" s="56"/>
      <c r="FS2092" s="56"/>
      <c r="FT2092" s="56"/>
      <c r="FU2092" s="56"/>
      <c r="FV2092" s="56"/>
      <c r="FW2092" s="56"/>
      <c r="FX2092" s="56"/>
      <c r="FY2092" s="56"/>
      <c r="FZ2092" s="56"/>
      <c r="GA2092" s="56"/>
      <c r="GB2092" s="56"/>
      <c r="GC2092" s="56"/>
      <c r="GD2092" s="56"/>
      <c r="GE2092" s="56"/>
      <c r="GF2092" s="56"/>
    </row>
    <row r="2093" spans="1:19" s="47" customFormat="1" ht="18" customHeight="1">
      <c r="A2093" s="50"/>
      <c r="B2093" s="93" t="s">
        <v>669</v>
      </c>
      <c r="C2093" s="94"/>
      <c r="D2093" s="60"/>
      <c r="E2093" s="60"/>
      <c r="F2093" s="60"/>
      <c r="G2093" s="60"/>
      <c r="H2093" s="60"/>
      <c r="I2093" s="60"/>
      <c r="J2093" s="60"/>
      <c r="K2093" s="60"/>
      <c r="L2093" s="60">
        <f>SUM(L2094:L2097)</f>
        <v>3</v>
      </c>
      <c r="M2093" s="60">
        <f aca="true" t="shared" si="68" ref="M2093:S2093">SUM(M2094:M2097)</f>
        <v>2</v>
      </c>
      <c r="N2093" s="60">
        <f t="shared" si="68"/>
        <v>2</v>
      </c>
      <c r="O2093" s="60">
        <f t="shared" si="68"/>
        <v>1</v>
      </c>
      <c r="P2093" s="60">
        <f t="shared" si="68"/>
        <v>1</v>
      </c>
      <c r="Q2093" s="257">
        <f t="shared" si="68"/>
        <v>0</v>
      </c>
      <c r="R2093" s="60">
        <f t="shared" si="68"/>
        <v>0</v>
      </c>
      <c r="S2093" s="60">
        <f t="shared" si="68"/>
        <v>0</v>
      </c>
    </row>
    <row r="2094" spans="1:19" s="48" customFormat="1" ht="18" customHeight="1">
      <c r="A2094" s="12"/>
      <c r="B2094" s="97" t="s">
        <v>560</v>
      </c>
      <c r="C2094" s="29" t="s">
        <v>1319</v>
      </c>
      <c r="D2094" s="40"/>
      <c r="E2094" s="40"/>
      <c r="F2094" s="40"/>
      <c r="G2094" s="40">
        <v>6</v>
      </c>
      <c r="H2094" s="40">
        <v>6</v>
      </c>
      <c r="I2094" s="40">
        <v>6</v>
      </c>
      <c r="J2094" s="40">
        <v>6</v>
      </c>
      <c r="K2094" s="40">
        <v>6</v>
      </c>
      <c r="L2094" s="40">
        <v>1</v>
      </c>
      <c r="M2094" s="40" t="s">
        <v>556</v>
      </c>
      <c r="N2094" s="40">
        <v>1</v>
      </c>
      <c r="O2094" s="40">
        <v>1</v>
      </c>
      <c r="P2094" s="40">
        <v>1</v>
      </c>
      <c r="Q2094" s="68"/>
      <c r="R2094" s="68"/>
      <c r="S2094" s="68"/>
    </row>
    <row r="2095" spans="1:19" s="48" customFormat="1" ht="18" customHeight="1">
      <c r="A2095" s="12"/>
      <c r="B2095" s="97" t="s">
        <v>448</v>
      </c>
      <c r="C2095" s="29" t="s">
        <v>449</v>
      </c>
      <c r="D2095" s="40"/>
      <c r="E2095" s="40"/>
      <c r="F2095" s="40"/>
      <c r="G2095" s="40">
        <v>20</v>
      </c>
      <c r="H2095" s="40">
        <v>20</v>
      </c>
      <c r="I2095" s="40">
        <v>20</v>
      </c>
      <c r="J2095" s="40">
        <v>20</v>
      </c>
      <c r="K2095" s="40">
        <v>20</v>
      </c>
      <c r="L2095" s="40">
        <v>2</v>
      </c>
      <c r="M2095" s="40" t="s">
        <v>556</v>
      </c>
      <c r="N2095" s="40">
        <v>1</v>
      </c>
      <c r="O2095" s="40" t="s">
        <v>556</v>
      </c>
      <c r="P2095" s="40" t="s">
        <v>556</v>
      </c>
      <c r="Q2095" s="68"/>
      <c r="R2095" s="68"/>
      <c r="S2095" s="68"/>
    </row>
    <row r="2096" spans="1:19" s="48" customFormat="1" ht="18" customHeight="1">
      <c r="A2096" s="12"/>
      <c r="B2096" s="97" t="s">
        <v>599</v>
      </c>
      <c r="C2096" s="15" t="s">
        <v>600</v>
      </c>
      <c r="D2096" s="40"/>
      <c r="E2096" s="40"/>
      <c r="F2096" s="40"/>
      <c r="G2096" s="40">
        <v>6</v>
      </c>
      <c r="H2096" s="40">
        <v>6</v>
      </c>
      <c r="I2096" s="40">
        <v>6</v>
      </c>
      <c r="J2096" s="40">
        <v>6</v>
      </c>
      <c r="K2096" s="40">
        <v>6</v>
      </c>
      <c r="L2096" s="40" t="s">
        <v>556</v>
      </c>
      <c r="M2096" s="40">
        <v>1</v>
      </c>
      <c r="N2096" s="40" t="s">
        <v>556</v>
      </c>
      <c r="O2096" s="40" t="s">
        <v>556</v>
      </c>
      <c r="P2096" s="40" t="s">
        <v>556</v>
      </c>
      <c r="Q2096" s="68"/>
      <c r="R2096" s="68"/>
      <c r="S2096" s="68"/>
    </row>
    <row r="2097" spans="1:19" s="48" customFormat="1" ht="18" customHeight="1">
      <c r="A2097" s="12"/>
      <c r="B2097" s="97" t="s">
        <v>784</v>
      </c>
      <c r="C2097" s="15" t="s">
        <v>785</v>
      </c>
      <c r="D2097" s="40"/>
      <c r="E2097" s="40"/>
      <c r="F2097" s="40"/>
      <c r="G2097" s="40">
        <v>4</v>
      </c>
      <c r="H2097" s="40">
        <v>4</v>
      </c>
      <c r="I2097" s="40">
        <v>4</v>
      </c>
      <c r="J2097" s="40">
        <v>4</v>
      </c>
      <c r="K2097" s="40">
        <v>4</v>
      </c>
      <c r="L2097" s="40" t="s">
        <v>556</v>
      </c>
      <c r="M2097" s="40">
        <v>1</v>
      </c>
      <c r="N2097" s="40" t="s">
        <v>556</v>
      </c>
      <c r="O2097" s="40" t="s">
        <v>556</v>
      </c>
      <c r="P2097" s="40" t="s">
        <v>556</v>
      </c>
      <c r="Q2097" s="68"/>
      <c r="R2097" s="68"/>
      <c r="S2097" s="68"/>
    </row>
    <row r="2098" spans="1:19" s="47" customFormat="1" ht="18" customHeight="1">
      <c r="A2098" s="50"/>
      <c r="B2098" s="93" t="s">
        <v>1336</v>
      </c>
      <c r="C2098" s="94"/>
      <c r="D2098" s="60"/>
      <c r="E2098" s="60"/>
      <c r="F2098" s="60"/>
      <c r="G2098" s="60"/>
      <c r="H2098" s="60"/>
      <c r="I2098" s="60"/>
      <c r="J2098" s="60"/>
      <c r="K2098" s="60"/>
      <c r="L2098" s="60" t="s">
        <v>556</v>
      </c>
      <c r="M2098" s="60" t="s">
        <v>556</v>
      </c>
      <c r="N2098" s="60">
        <v>1</v>
      </c>
      <c r="O2098" s="60" t="s">
        <v>556</v>
      </c>
      <c r="P2098" s="60" t="s">
        <v>556</v>
      </c>
      <c r="Q2098" s="95"/>
      <c r="R2098" s="95"/>
      <c r="S2098" s="96"/>
    </row>
    <row r="2099" spans="1:19" s="48" customFormat="1" ht="18" customHeight="1">
      <c r="A2099" s="12"/>
      <c r="B2099" s="97" t="s">
        <v>561</v>
      </c>
      <c r="C2099" s="66" t="s">
        <v>804</v>
      </c>
      <c r="D2099" s="40"/>
      <c r="E2099" s="40"/>
      <c r="F2099" s="40"/>
      <c r="G2099" s="40">
        <v>5</v>
      </c>
      <c r="H2099" s="40">
        <v>5</v>
      </c>
      <c r="I2099" s="40">
        <v>5</v>
      </c>
      <c r="J2099" s="40">
        <v>5</v>
      </c>
      <c r="K2099" s="40">
        <v>5</v>
      </c>
      <c r="L2099" s="40" t="s">
        <v>556</v>
      </c>
      <c r="M2099" s="40" t="s">
        <v>556</v>
      </c>
      <c r="N2099" s="40">
        <v>1</v>
      </c>
      <c r="O2099" s="40" t="s">
        <v>556</v>
      </c>
      <c r="P2099" s="40" t="s">
        <v>556</v>
      </c>
      <c r="Q2099" s="68"/>
      <c r="R2099" s="68"/>
      <c r="S2099" s="68"/>
    </row>
    <row r="2100" spans="1:57" s="46" customFormat="1" ht="18" customHeight="1">
      <c r="A2100" s="13"/>
      <c r="B2100" s="93" t="s">
        <v>37</v>
      </c>
      <c r="C2100" s="15"/>
      <c r="D2100" s="40"/>
      <c r="E2100" s="40"/>
      <c r="F2100" s="40"/>
      <c r="G2100" s="40"/>
      <c r="H2100" s="40"/>
      <c r="I2100" s="40"/>
      <c r="J2100" s="40"/>
      <c r="K2100" s="40"/>
      <c r="L2100" s="60">
        <v>2</v>
      </c>
      <c r="M2100" s="60" t="str">
        <f>M2099</f>
        <v> -</v>
      </c>
      <c r="N2100" s="60" t="s">
        <v>556</v>
      </c>
      <c r="O2100" s="60" t="str">
        <f>O2099</f>
        <v> -</v>
      </c>
      <c r="P2100" s="60" t="str">
        <f>P2099</f>
        <v> -</v>
      </c>
      <c r="Q2100" s="70"/>
      <c r="R2100" s="41"/>
      <c r="S2100" s="41"/>
      <c r="BA2100" s="70"/>
      <c r="BB2100" s="41"/>
      <c r="BC2100" s="41"/>
      <c r="BD2100" s="41"/>
      <c r="BE2100" s="41"/>
    </row>
    <row r="2101" spans="1:57" s="46" customFormat="1" ht="18" customHeight="1">
      <c r="A2101" s="12"/>
      <c r="B2101" s="97" t="s">
        <v>871</v>
      </c>
      <c r="C2101" s="15" t="s">
        <v>872</v>
      </c>
      <c r="D2101" s="40"/>
      <c r="E2101" s="40"/>
      <c r="F2101" s="40"/>
      <c r="G2101" s="40">
        <v>1</v>
      </c>
      <c r="H2101" s="40">
        <v>1</v>
      </c>
      <c r="I2101" s="40">
        <v>1</v>
      </c>
      <c r="J2101" s="40">
        <v>1</v>
      </c>
      <c r="K2101" s="40">
        <v>1</v>
      </c>
      <c r="L2101" s="40">
        <v>1</v>
      </c>
      <c r="M2101" s="40" t="s">
        <v>556</v>
      </c>
      <c r="N2101" s="40" t="s">
        <v>556</v>
      </c>
      <c r="O2101" s="40" t="s">
        <v>556</v>
      </c>
      <c r="P2101" s="40" t="s">
        <v>556</v>
      </c>
      <c r="Q2101" s="70"/>
      <c r="R2101" s="41"/>
      <c r="S2101" s="41"/>
      <c r="BA2101" s="70"/>
      <c r="BB2101" s="41"/>
      <c r="BC2101" s="41"/>
      <c r="BD2101" s="41"/>
      <c r="BE2101" s="41"/>
    </row>
    <row r="2102" spans="1:19" s="48" customFormat="1" ht="18" customHeight="1">
      <c r="A2102" s="12"/>
      <c r="B2102" s="107" t="s">
        <v>932</v>
      </c>
      <c r="C2102" s="15" t="s">
        <v>933</v>
      </c>
      <c r="D2102" s="40"/>
      <c r="E2102" s="40"/>
      <c r="F2102" s="40"/>
      <c r="G2102" s="40">
        <v>1</v>
      </c>
      <c r="H2102" s="40">
        <v>1</v>
      </c>
      <c r="I2102" s="40">
        <v>1</v>
      </c>
      <c r="J2102" s="40">
        <v>1</v>
      </c>
      <c r="K2102" s="40">
        <v>1</v>
      </c>
      <c r="L2102" s="40">
        <v>1</v>
      </c>
      <c r="M2102" s="40" t="s">
        <v>556</v>
      </c>
      <c r="N2102" s="40" t="s">
        <v>556</v>
      </c>
      <c r="O2102" s="40" t="s">
        <v>556</v>
      </c>
      <c r="P2102" s="40" t="s">
        <v>556</v>
      </c>
      <c r="Q2102" s="68"/>
      <c r="R2102" s="68"/>
      <c r="S2102" s="68"/>
    </row>
    <row r="2103" spans="1:19" ht="38.25" customHeight="1">
      <c r="A2103" s="401" t="s">
        <v>623</v>
      </c>
      <c r="B2103" s="401"/>
      <c r="C2103" s="401"/>
      <c r="D2103" s="401"/>
      <c r="E2103" s="401"/>
      <c r="F2103" s="401"/>
      <c r="G2103" s="401"/>
      <c r="H2103" s="401"/>
      <c r="I2103" s="401"/>
      <c r="J2103" s="401"/>
      <c r="K2103" s="401"/>
      <c r="L2103" s="401"/>
      <c r="M2103" s="401"/>
      <c r="N2103" s="401"/>
      <c r="O2103" s="401"/>
      <c r="P2103" s="401"/>
      <c r="Q2103" s="20"/>
      <c r="R2103" s="20"/>
      <c r="S2103" s="7"/>
    </row>
    <row r="2104" spans="1:19" ht="15" customHeight="1">
      <c r="A2104" s="399" t="s">
        <v>650</v>
      </c>
      <c r="B2104" s="399"/>
      <c r="C2104" s="399"/>
      <c r="D2104" s="399"/>
      <c r="E2104" s="399"/>
      <c r="F2104" s="399"/>
      <c r="G2104" s="399"/>
      <c r="H2104" s="399"/>
      <c r="I2104" s="399"/>
      <c r="J2104" s="399"/>
      <c r="K2104" s="399"/>
      <c r="L2104" s="399"/>
      <c r="M2104" s="399"/>
      <c r="N2104" s="399"/>
      <c r="O2104" s="399"/>
      <c r="P2104" s="399"/>
      <c r="Q2104" s="20"/>
      <c r="R2104" s="20"/>
      <c r="S2104" s="7"/>
    </row>
    <row r="2105" spans="1:19" ht="13.5" customHeight="1">
      <c r="A2105" s="400" t="s">
        <v>676</v>
      </c>
      <c r="B2105" s="400"/>
      <c r="C2105" s="400"/>
      <c r="D2105" s="400"/>
      <c r="E2105" s="400"/>
      <c r="F2105" s="400"/>
      <c r="G2105" s="400"/>
      <c r="H2105" s="400"/>
      <c r="I2105" s="400"/>
      <c r="J2105" s="400"/>
      <c r="K2105" s="400"/>
      <c r="L2105" s="400"/>
      <c r="M2105" s="400"/>
      <c r="N2105" s="400"/>
      <c r="O2105" s="400"/>
      <c r="P2105" s="400"/>
      <c r="Q2105" s="21"/>
      <c r="R2105" s="21"/>
      <c r="S2105" s="8"/>
    </row>
    <row r="2106" spans="1:188" s="62" customFormat="1" ht="16.5" customHeight="1">
      <c r="A2106" s="13">
        <v>1</v>
      </c>
      <c r="B2106" s="108" t="s">
        <v>322</v>
      </c>
      <c r="C2106" s="45"/>
      <c r="D2106" s="44">
        <v>164</v>
      </c>
      <c r="E2106" s="44">
        <v>28</v>
      </c>
      <c r="F2106" s="44"/>
      <c r="G2106" s="44">
        <v>169</v>
      </c>
      <c r="H2106" s="44">
        <v>174</v>
      </c>
      <c r="I2106" s="44">
        <v>179</v>
      </c>
      <c r="J2106" s="44">
        <v>184</v>
      </c>
      <c r="K2106" s="44">
        <v>189</v>
      </c>
      <c r="L2106" s="44">
        <v>5</v>
      </c>
      <c r="M2106" s="44">
        <v>5</v>
      </c>
      <c r="N2106" s="44">
        <v>5</v>
      </c>
      <c r="O2106" s="44">
        <v>5</v>
      </c>
      <c r="P2106" s="44">
        <v>5</v>
      </c>
      <c r="Q2106" s="54" t="s">
        <v>648</v>
      </c>
      <c r="R2106" s="54">
        <v>1</v>
      </c>
      <c r="S2106" s="55" t="s">
        <v>554</v>
      </c>
      <c r="T2106" s="56"/>
      <c r="U2106" s="56"/>
      <c r="V2106" s="56"/>
      <c r="W2106" s="56"/>
      <c r="X2106" s="56"/>
      <c r="Y2106" s="56"/>
      <c r="Z2106" s="56"/>
      <c r="AA2106" s="56"/>
      <c r="AB2106" s="56"/>
      <c r="AC2106" s="56"/>
      <c r="AD2106" s="56"/>
      <c r="AE2106" s="56"/>
      <c r="AF2106" s="56"/>
      <c r="AG2106" s="56"/>
      <c r="AH2106" s="56"/>
      <c r="AI2106" s="56"/>
      <c r="AJ2106" s="56"/>
      <c r="AK2106" s="56"/>
      <c r="AL2106" s="56"/>
      <c r="AM2106" s="56"/>
      <c r="AN2106" s="56"/>
      <c r="AO2106" s="56"/>
      <c r="AP2106" s="56"/>
      <c r="AQ2106" s="56"/>
      <c r="AR2106" s="56"/>
      <c r="AS2106" s="56"/>
      <c r="AT2106" s="56"/>
      <c r="AU2106" s="56"/>
      <c r="AV2106" s="56"/>
      <c r="AW2106" s="56"/>
      <c r="AX2106" s="56"/>
      <c r="AY2106" s="56"/>
      <c r="AZ2106" s="56"/>
      <c r="BA2106" s="56"/>
      <c r="BB2106" s="56"/>
      <c r="BC2106" s="56"/>
      <c r="BD2106" s="56"/>
      <c r="BE2106" s="56"/>
      <c r="BF2106" s="56"/>
      <c r="BG2106" s="56"/>
      <c r="BH2106" s="56"/>
      <c r="BI2106" s="56"/>
      <c r="BJ2106" s="56"/>
      <c r="BK2106" s="56"/>
      <c r="BL2106" s="56"/>
      <c r="BM2106" s="56"/>
      <c r="BN2106" s="56"/>
      <c r="BO2106" s="56"/>
      <c r="BP2106" s="56"/>
      <c r="BQ2106" s="56"/>
      <c r="BR2106" s="56"/>
      <c r="BS2106" s="56"/>
      <c r="BT2106" s="56"/>
      <c r="BU2106" s="56"/>
      <c r="BV2106" s="56"/>
      <c r="BW2106" s="56"/>
      <c r="BX2106" s="56"/>
      <c r="BY2106" s="56"/>
      <c r="BZ2106" s="56"/>
      <c r="CA2106" s="56"/>
      <c r="CB2106" s="56"/>
      <c r="CC2106" s="56"/>
      <c r="CD2106" s="56"/>
      <c r="CE2106" s="56"/>
      <c r="CF2106" s="56"/>
      <c r="CG2106" s="56"/>
      <c r="CH2106" s="56"/>
      <c r="CI2106" s="56"/>
      <c r="CJ2106" s="56"/>
      <c r="CK2106" s="56"/>
      <c r="CL2106" s="56"/>
      <c r="CM2106" s="56"/>
      <c r="CN2106" s="56"/>
      <c r="CO2106" s="56"/>
      <c r="CP2106" s="56"/>
      <c r="CQ2106" s="56"/>
      <c r="CR2106" s="56"/>
      <c r="CS2106" s="56"/>
      <c r="CT2106" s="56"/>
      <c r="CU2106" s="56"/>
      <c r="CV2106" s="56"/>
      <c r="CW2106" s="56"/>
      <c r="CX2106" s="56"/>
      <c r="CY2106" s="56"/>
      <c r="CZ2106" s="56"/>
      <c r="DA2106" s="56"/>
      <c r="DB2106" s="56"/>
      <c r="DC2106" s="56"/>
      <c r="DD2106" s="56"/>
      <c r="DE2106" s="56"/>
      <c r="DF2106" s="56"/>
      <c r="DG2106" s="56"/>
      <c r="DH2106" s="56"/>
      <c r="DI2106" s="56"/>
      <c r="DJ2106" s="56"/>
      <c r="DK2106" s="56"/>
      <c r="DL2106" s="56"/>
      <c r="DM2106" s="56"/>
      <c r="DN2106" s="56"/>
      <c r="DO2106" s="56"/>
      <c r="DP2106" s="56"/>
      <c r="DQ2106" s="56"/>
      <c r="DR2106" s="56"/>
      <c r="DS2106" s="56"/>
      <c r="DT2106" s="56"/>
      <c r="DU2106" s="56"/>
      <c r="DV2106" s="56"/>
      <c r="DW2106" s="56"/>
      <c r="DX2106" s="56"/>
      <c r="DY2106" s="56"/>
      <c r="DZ2106" s="56"/>
      <c r="EA2106" s="56"/>
      <c r="EB2106" s="56"/>
      <c r="EC2106" s="56"/>
      <c r="ED2106" s="56"/>
      <c r="EE2106" s="56"/>
      <c r="EF2106" s="56"/>
      <c r="EG2106" s="56"/>
      <c r="EH2106" s="56"/>
      <c r="EI2106" s="56"/>
      <c r="EJ2106" s="56"/>
      <c r="EK2106" s="56"/>
      <c r="EL2106" s="56"/>
      <c r="EM2106" s="56"/>
      <c r="EN2106" s="56"/>
      <c r="EO2106" s="56"/>
      <c r="EP2106" s="56"/>
      <c r="EQ2106" s="56"/>
      <c r="ER2106" s="56"/>
      <c r="ES2106" s="56"/>
      <c r="ET2106" s="56"/>
      <c r="EU2106" s="56"/>
      <c r="EV2106" s="56"/>
      <c r="EW2106" s="56"/>
      <c r="EX2106" s="56"/>
      <c r="EY2106" s="56"/>
      <c r="EZ2106" s="56"/>
      <c r="FA2106" s="56"/>
      <c r="FB2106" s="56"/>
      <c r="FC2106" s="56"/>
      <c r="FD2106" s="56"/>
      <c r="FE2106" s="56"/>
      <c r="FF2106" s="56"/>
      <c r="FG2106" s="56"/>
      <c r="FH2106" s="56"/>
      <c r="FI2106" s="56"/>
      <c r="FJ2106" s="56"/>
      <c r="FK2106" s="56"/>
      <c r="FL2106" s="56"/>
      <c r="FM2106" s="56"/>
      <c r="FN2106" s="56"/>
      <c r="FO2106" s="56"/>
      <c r="FP2106" s="56"/>
      <c r="FQ2106" s="56"/>
      <c r="FR2106" s="56"/>
      <c r="FS2106" s="56"/>
      <c r="FT2106" s="56"/>
      <c r="FU2106" s="56"/>
      <c r="FV2106" s="56"/>
      <c r="FW2106" s="56"/>
      <c r="FX2106" s="56"/>
      <c r="FY2106" s="56"/>
      <c r="FZ2106" s="56"/>
      <c r="GA2106" s="56"/>
      <c r="GB2106" s="56"/>
      <c r="GC2106" s="56"/>
      <c r="GD2106" s="56"/>
      <c r="GE2106" s="56"/>
      <c r="GF2106" s="56"/>
    </row>
    <row r="2107" spans="1:48" s="18" customFormat="1" ht="16.5" customHeight="1">
      <c r="A2107" s="50"/>
      <c r="B2107" s="93" t="s">
        <v>669</v>
      </c>
      <c r="C2107" s="16"/>
      <c r="D2107" s="52"/>
      <c r="E2107" s="52"/>
      <c r="F2107" s="52"/>
      <c r="G2107" s="52"/>
      <c r="H2107" s="52"/>
      <c r="I2107" s="52"/>
      <c r="J2107" s="52"/>
      <c r="K2107" s="52"/>
      <c r="L2107" s="60">
        <f>L2108</f>
        <v>4</v>
      </c>
      <c r="M2107" s="60">
        <f>M2108</f>
        <v>4</v>
      </c>
      <c r="N2107" s="60">
        <f>N2108</f>
        <v>4</v>
      </c>
      <c r="O2107" s="60">
        <f>O2108</f>
        <v>4</v>
      </c>
      <c r="P2107" s="60">
        <f>P2108</f>
        <v>4</v>
      </c>
      <c r="Q2107" s="23"/>
      <c r="R2107" s="23"/>
      <c r="S2107" s="17"/>
      <c r="T2107" s="47"/>
      <c r="U2107" s="47"/>
      <c r="V2107" s="47"/>
      <c r="W2107" s="47"/>
      <c r="X2107" s="47"/>
      <c r="Y2107" s="47"/>
      <c r="Z2107" s="47"/>
      <c r="AA2107" s="47"/>
      <c r="AB2107" s="47"/>
      <c r="AC2107" s="47"/>
      <c r="AD2107" s="47"/>
      <c r="AE2107" s="47"/>
      <c r="AF2107" s="47"/>
      <c r="AG2107" s="47"/>
      <c r="AH2107" s="47"/>
      <c r="AI2107" s="47"/>
      <c r="AJ2107" s="47"/>
      <c r="AK2107" s="47"/>
      <c r="AL2107" s="47"/>
      <c r="AM2107" s="47"/>
      <c r="AN2107" s="47"/>
      <c r="AO2107" s="47"/>
      <c r="AP2107" s="47"/>
      <c r="AQ2107" s="47"/>
      <c r="AR2107" s="47"/>
      <c r="AS2107" s="47"/>
      <c r="AT2107" s="47"/>
      <c r="AU2107" s="47"/>
      <c r="AV2107" s="47"/>
    </row>
    <row r="2108" spans="1:48" s="27" customFormat="1" ht="16.5" customHeight="1">
      <c r="A2108" s="12"/>
      <c r="B2108" s="97" t="s">
        <v>558</v>
      </c>
      <c r="C2108" s="29" t="s">
        <v>452</v>
      </c>
      <c r="D2108" s="51"/>
      <c r="E2108" s="51"/>
      <c r="F2108" s="51"/>
      <c r="G2108" s="51">
        <v>79</v>
      </c>
      <c r="H2108" s="51">
        <v>63</v>
      </c>
      <c r="I2108" s="51">
        <v>67</v>
      </c>
      <c r="J2108" s="51">
        <v>71</v>
      </c>
      <c r="K2108" s="51">
        <v>75</v>
      </c>
      <c r="L2108" s="40">
        <v>4</v>
      </c>
      <c r="M2108" s="40">
        <v>4</v>
      </c>
      <c r="N2108" s="40">
        <v>4</v>
      </c>
      <c r="O2108" s="40">
        <v>4</v>
      </c>
      <c r="P2108" s="40">
        <v>4</v>
      </c>
      <c r="Q2108" s="33"/>
      <c r="R2108" s="33"/>
      <c r="S2108" s="33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</row>
    <row r="2109" spans="1:57" s="43" customFormat="1" ht="16.5" customHeight="1">
      <c r="A2109" s="13"/>
      <c r="B2109" s="93" t="s">
        <v>670</v>
      </c>
      <c r="C2109" s="15"/>
      <c r="D2109" s="40"/>
      <c r="E2109" s="40"/>
      <c r="F2109" s="40"/>
      <c r="G2109" s="40"/>
      <c r="H2109" s="40"/>
      <c r="I2109" s="40"/>
      <c r="J2109" s="40"/>
      <c r="K2109" s="40"/>
      <c r="L2109" s="60">
        <f>L2110</f>
        <v>1</v>
      </c>
      <c r="M2109" s="60">
        <f>M2110</f>
        <v>1</v>
      </c>
      <c r="N2109" s="60">
        <f>N2110</f>
        <v>1</v>
      </c>
      <c r="O2109" s="60">
        <f>O2110</f>
        <v>1</v>
      </c>
      <c r="P2109" s="60">
        <f>P2110</f>
        <v>1</v>
      </c>
      <c r="Q2109" s="70"/>
      <c r="R2109" s="41"/>
      <c r="S2109" s="41"/>
      <c r="T2109" s="46"/>
      <c r="U2109" s="46"/>
      <c r="V2109" s="46"/>
      <c r="W2109" s="46"/>
      <c r="X2109" s="46"/>
      <c r="Y2109" s="46"/>
      <c r="Z2109" s="46"/>
      <c r="AA2109" s="46"/>
      <c r="AB2109" s="46"/>
      <c r="AC2109" s="46"/>
      <c r="AD2109" s="46"/>
      <c r="AE2109" s="46"/>
      <c r="AF2109" s="46"/>
      <c r="AG2109" s="46"/>
      <c r="AH2109" s="46"/>
      <c r="AI2109" s="46"/>
      <c r="AJ2109" s="46"/>
      <c r="AK2109" s="46"/>
      <c r="AL2109" s="46"/>
      <c r="AM2109" s="46"/>
      <c r="AN2109" s="46"/>
      <c r="AO2109" s="46"/>
      <c r="AP2109" s="46"/>
      <c r="AQ2109" s="46"/>
      <c r="AR2109" s="46"/>
      <c r="AS2109" s="46"/>
      <c r="AT2109" s="46"/>
      <c r="AU2109" s="46"/>
      <c r="AV2109" s="46"/>
      <c r="BA2109" s="49"/>
      <c r="BB2109" s="42"/>
      <c r="BC2109" s="42"/>
      <c r="BD2109" s="42"/>
      <c r="BE2109" s="42"/>
    </row>
    <row r="2110" spans="1:57" s="43" customFormat="1" ht="16.5" customHeight="1">
      <c r="A2110" s="13"/>
      <c r="B2110" s="109" t="s">
        <v>71</v>
      </c>
      <c r="C2110" s="66" t="s">
        <v>41</v>
      </c>
      <c r="D2110" s="40"/>
      <c r="E2110" s="40"/>
      <c r="F2110" s="40"/>
      <c r="G2110" s="40">
        <v>5</v>
      </c>
      <c r="H2110" s="40">
        <v>6</v>
      </c>
      <c r="I2110" s="40">
        <v>7</v>
      </c>
      <c r="J2110" s="40">
        <v>8</v>
      </c>
      <c r="K2110" s="40">
        <v>9</v>
      </c>
      <c r="L2110" s="40">
        <v>1</v>
      </c>
      <c r="M2110" s="40">
        <v>1</v>
      </c>
      <c r="N2110" s="40">
        <v>1</v>
      </c>
      <c r="O2110" s="40">
        <v>1</v>
      </c>
      <c r="P2110" s="40">
        <v>1</v>
      </c>
      <c r="Q2110" s="70"/>
      <c r="R2110" s="41"/>
      <c r="S2110" s="41"/>
      <c r="T2110" s="46"/>
      <c r="U2110" s="46"/>
      <c r="V2110" s="46"/>
      <c r="W2110" s="46"/>
      <c r="X2110" s="46"/>
      <c r="Y2110" s="46"/>
      <c r="Z2110" s="46"/>
      <c r="AA2110" s="46"/>
      <c r="AB2110" s="46"/>
      <c r="AC2110" s="46"/>
      <c r="AD2110" s="46"/>
      <c r="AE2110" s="46"/>
      <c r="AF2110" s="46"/>
      <c r="AG2110" s="46"/>
      <c r="AH2110" s="46"/>
      <c r="AI2110" s="46"/>
      <c r="AJ2110" s="46"/>
      <c r="AK2110" s="46"/>
      <c r="AL2110" s="46"/>
      <c r="AM2110" s="46"/>
      <c r="AN2110" s="46"/>
      <c r="AO2110" s="46"/>
      <c r="AP2110" s="46"/>
      <c r="AQ2110" s="46"/>
      <c r="AR2110" s="46"/>
      <c r="AS2110" s="46"/>
      <c r="AT2110" s="46"/>
      <c r="AU2110" s="46"/>
      <c r="AV2110" s="46"/>
      <c r="BA2110" s="49"/>
      <c r="BB2110" s="42"/>
      <c r="BC2110" s="42"/>
      <c r="BD2110" s="42"/>
      <c r="BE2110" s="42"/>
    </row>
    <row r="2111" spans="1:188" s="62" customFormat="1" ht="16.5" customHeight="1">
      <c r="A2111" s="13">
        <v>2</v>
      </c>
      <c r="B2111" s="108" t="s">
        <v>60</v>
      </c>
      <c r="C2111" s="45"/>
      <c r="D2111" s="44">
        <v>179</v>
      </c>
      <c r="E2111" s="44">
        <v>71</v>
      </c>
      <c r="F2111" s="44"/>
      <c r="G2111" s="44">
        <v>179</v>
      </c>
      <c r="H2111" s="44">
        <v>179</v>
      </c>
      <c r="I2111" s="44">
        <v>179</v>
      </c>
      <c r="J2111" s="44">
        <v>179</v>
      </c>
      <c r="K2111" s="44">
        <v>179</v>
      </c>
      <c r="L2111" s="44">
        <f>SUM(L2112,L2116)</f>
        <v>1</v>
      </c>
      <c r="M2111" s="44">
        <f>SUM(M2112,M2116)</f>
        <v>4</v>
      </c>
      <c r="N2111" s="44">
        <f>SUM(N2112,N2116)</f>
        <v>5</v>
      </c>
      <c r="O2111" s="44">
        <f>SUM(O2112,O2116)</f>
        <v>6</v>
      </c>
      <c r="P2111" s="44">
        <f>SUM(P2112,P2116)</f>
        <v>6</v>
      </c>
      <c r="Q2111" s="54" t="s">
        <v>648</v>
      </c>
      <c r="R2111" s="54">
        <v>1</v>
      </c>
      <c r="S2111" s="55" t="s">
        <v>554</v>
      </c>
      <c r="T2111" s="56"/>
      <c r="U2111" s="56"/>
      <c r="V2111" s="56"/>
      <c r="W2111" s="56"/>
      <c r="X2111" s="56"/>
      <c r="Y2111" s="56"/>
      <c r="Z2111" s="56"/>
      <c r="AA2111" s="56"/>
      <c r="AB2111" s="56"/>
      <c r="AC2111" s="56"/>
      <c r="AD2111" s="56"/>
      <c r="AE2111" s="56"/>
      <c r="AF2111" s="56"/>
      <c r="AG2111" s="56"/>
      <c r="AH2111" s="56"/>
      <c r="AI2111" s="56"/>
      <c r="AJ2111" s="56"/>
      <c r="AK2111" s="56"/>
      <c r="AL2111" s="56"/>
      <c r="AM2111" s="56"/>
      <c r="AN2111" s="56"/>
      <c r="AO2111" s="56"/>
      <c r="AP2111" s="56"/>
      <c r="AQ2111" s="56"/>
      <c r="AR2111" s="56"/>
      <c r="AS2111" s="56"/>
      <c r="AT2111" s="56"/>
      <c r="AU2111" s="56"/>
      <c r="AV2111" s="56"/>
      <c r="AW2111" s="56"/>
      <c r="AX2111" s="56"/>
      <c r="AY2111" s="56"/>
      <c r="AZ2111" s="56"/>
      <c r="BA2111" s="56"/>
      <c r="BB2111" s="56"/>
      <c r="BC2111" s="56"/>
      <c r="BD2111" s="56"/>
      <c r="BE2111" s="56"/>
      <c r="BF2111" s="56"/>
      <c r="BG2111" s="56"/>
      <c r="BH2111" s="56"/>
      <c r="BI2111" s="56"/>
      <c r="BJ2111" s="56"/>
      <c r="BK2111" s="56"/>
      <c r="BL2111" s="56"/>
      <c r="BM2111" s="56"/>
      <c r="BN2111" s="56"/>
      <c r="BO2111" s="56"/>
      <c r="BP2111" s="56"/>
      <c r="BQ2111" s="56"/>
      <c r="BR2111" s="56"/>
      <c r="BS2111" s="56"/>
      <c r="BT2111" s="56"/>
      <c r="BU2111" s="56"/>
      <c r="BV2111" s="56"/>
      <c r="BW2111" s="56"/>
      <c r="BX2111" s="56"/>
      <c r="BY2111" s="56"/>
      <c r="BZ2111" s="56"/>
      <c r="CA2111" s="56"/>
      <c r="CB2111" s="56"/>
      <c r="CC2111" s="56"/>
      <c r="CD2111" s="56"/>
      <c r="CE2111" s="56"/>
      <c r="CF2111" s="56"/>
      <c r="CG2111" s="56"/>
      <c r="CH2111" s="56"/>
      <c r="CI2111" s="56"/>
      <c r="CJ2111" s="56"/>
      <c r="CK2111" s="56"/>
      <c r="CL2111" s="56"/>
      <c r="CM2111" s="56"/>
      <c r="CN2111" s="56"/>
      <c r="CO2111" s="56"/>
      <c r="CP2111" s="56"/>
      <c r="CQ2111" s="56"/>
      <c r="CR2111" s="56"/>
      <c r="CS2111" s="56"/>
      <c r="CT2111" s="56"/>
      <c r="CU2111" s="56"/>
      <c r="CV2111" s="56"/>
      <c r="CW2111" s="56"/>
      <c r="CX2111" s="56"/>
      <c r="CY2111" s="56"/>
      <c r="CZ2111" s="56"/>
      <c r="DA2111" s="56"/>
      <c r="DB2111" s="56"/>
      <c r="DC2111" s="56"/>
      <c r="DD2111" s="56"/>
      <c r="DE2111" s="56"/>
      <c r="DF2111" s="56"/>
      <c r="DG2111" s="56"/>
      <c r="DH2111" s="56"/>
      <c r="DI2111" s="56"/>
      <c r="DJ2111" s="56"/>
      <c r="DK2111" s="56"/>
      <c r="DL2111" s="56"/>
      <c r="DM2111" s="56"/>
      <c r="DN2111" s="56"/>
      <c r="DO2111" s="56"/>
      <c r="DP2111" s="56"/>
      <c r="DQ2111" s="56"/>
      <c r="DR2111" s="56"/>
      <c r="DS2111" s="56"/>
      <c r="DT2111" s="56"/>
      <c r="DU2111" s="56"/>
      <c r="DV2111" s="56"/>
      <c r="DW2111" s="56"/>
      <c r="DX2111" s="56"/>
      <c r="DY2111" s="56"/>
      <c r="DZ2111" s="56"/>
      <c r="EA2111" s="56"/>
      <c r="EB2111" s="56"/>
      <c r="EC2111" s="56"/>
      <c r="ED2111" s="56"/>
      <c r="EE2111" s="56"/>
      <c r="EF2111" s="56"/>
      <c r="EG2111" s="56"/>
      <c r="EH2111" s="56"/>
      <c r="EI2111" s="56"/>
      <c r="EJ2111" s="56"/>
      <c r="EK2111" s="56"/>
      <c r="EL2111" s="56"/>
      <c r="EM2111" s="56"/>
      <c r="EN2111" s="56"/>
      <c r="EO2111" s="56"/>
      <c r="EP2111" s="56"/>
      <c r="EQ2111" s="56"/>
      <c r="ER2111" s="56"/>
      <c r="ES2111" s="56"/>
      <c r="ET2111" s="56"/>
      <c r="EU2111" s="56"/>
      <c r="EV2111" s="56"/>
      <c r="EW2111" s="56"/>
      <c r="EX2111" s="56"/>
      <c r="EY2111" s="56"/>
      <c r="EZ2111" s="56"/>
      <c r="FA2111" s="56"/>
      <c r="FB2111" s="56"/>
      <c r="FC2111" s="56"/>
      <c r="FD2111" s="56"/>
      <c r="FE2111" s="56"/>
      <c r="FF2111" s="56"/>
      <c r="FG2111" s="56"/>
      <c r="FH2111" s="56"/>
      <c r="FI2111" s="56"/>
      <c r="FJ2111" s="56"/>
      <c r="FK2111" s="56"/>
      <c r="FL2111" s="56"/>
      <c r="FM2111" s="56"/>
      <c r="FN2111" s="56"/>
      <c r="FO2111" s="56"/>
      <c r="FP2111" s="56"/>
      <c r="FQ2111" s="56"/>
      <c r="FR2111" s="56"/>
      <c r="FS2111" s="56"/>
      <c r="FT2111" s="56"/>
      <c r="FU2111" s="56"/>
      <c r="FV2111" s="56"/>
      <c r="FW2111" s="56"/>
      <c r="FX2111" s="56"/>
      <c r="FY2111" s="56"/>
      <c r="FZ2111" s="56"/>
      <c r="GA2111" s="56"/>
      <c r="GB2111" s="56"/>
      <c r="GC2111" s="56"/>
      <c r="GD2111" s="56"/>
      <c r="GE2111" s="56"/>
      <c r="GF2111" s="56"/>
    </row>
    <row r="2112" spans="1:48" s="18" customFormat="1" ht="16.5" customHeight="1">
      <c r="A2112" s="50"/>
      <c r="B2112" s="93" t="s">
        <v>669</v>
      </c>
      <c r="C2112" s="16"/>
      <c r="D2112" s="52"/>
      <c r="E2112" s="52"/>
      <c r="F2112" s="52"/>
      <c r="G2112" s="52"/>
      <c r="H2112" s="52"/>
      <c r="I2112" s="52"/>
      <c r="J2112" s="52"/>
      <c r="K2112" s="52"/>
      <c r="L2112" s="60">
        <f>SUM(L2113:L2115)</f>
        <v>1</v>
      </c>
      <c r="M2112" s="60">
        <f>SUM(M2113:M2115)</f>
        <v>4</v>
      </c>
      <c r="N2112" s="60">
        <f>SUM(N2113:N2115)</f>
        <v>3</v>
      </c>
      <c r="O2112" s="60">
        <f>SUM(O2113:O2115)</f>
        <v>2</v>
      </c>
      <c r="P2112" s="60">
        <f>SUM(P2113:P2115)</f>
        <v>3</v>
      </c>
      <c r="Q2112" s="23"/>
      <c r="R2112" s="23"/>
      <c r="S2112" s="17"/>
      <c r="T2112" s="47"/>
      <c r="U2112" s="47"/>
      <c r="V2112" s="47"/>
      <c r="W2112" s="47"/>
      <c r="X2112" s="47"/>
      <c r="Y2112" s="47"/>
      <c r="Z2112" s="47"/>
      <c r="AA2112" s="47"/>
      <c r="AB2112" s="47"/>
      <c r="AC2112" s="47"/>
      <c r="AD2112" s="47"/>
      <c r="AE2112" s="47"/>
      <c r="AF2112" s="47"/>
      <c r="AG2112" s="47"/>
      <c r="AH2112" s="47"/>
      <c r="AI2112" s="47"/>
      <c r="AJ2112" s="47"/>
      <c r="AK2112" s="47"/>
      <c r="AL2112" s="47"/>
      <c r="AM2112" s="47"/>
      <c r="AN2112" s="47"/>
      <c r="AO2112" s="47"/>
      <c r="AP2112" s="47"/>
      <c r="AQ2112" s="47"/>
      <c r="AR2112" s="47"/>
      <c r="AS2112" s="47"/>
      <c r="AT2112" s="47"/>
      <c r="AU2112" s="47"/>
      <c r="AV2112" s="47"/>
    </row>
    <row r="2113" spans="1:48" s="27" customFormat="1" ht="16.5" customHeight="1">
      <c r="A2113" s="12"/>
      <c r="B2113" s="97" t="s">
        <v>411</v>
      </c>
      <c r="C2113" s="15" t="s">
        <v>412</v>
      </c>
      <c r="D2113" s="51"/>
      <c r="E2113" s="51"/>
      <c r="F2113" s="51"/>
      <c r="G2113" s="51">
        <v>63</v>
      </c>
      <c r="H2113" s="51">
        <v>63</v>
      </c>
      <c r="I2113" s="51">
        <v>63</v>
      </c>
      <c r="J2113" s="51">
        <v>63</v>
      </c>
      <c r="K2113" s="51">
        <v>63</v>
      </c>
      <c r="L2113" s="40">
        <v>1</v>
      </c>
      <c r="M2113" s="40">
        <v>2</v>
      </c>
      <c r="N2113" s="40">
        <v>1</v>
      </c>
      <c r="O2113" s="40">
        <v>2</v>
      </c>
      <c r="P2113" s="40">
        <v>1</v>
      </c>
      <c r="Q2113" s="33"/>
      <c r="R2113" s="33"/>
      <c r="S2113" s="33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</row>
    <row r="2114" spans="1:48" s="27" customFormat="1" ht="16.5" customHeight="1">
      <c r="A2114" s="12"/>
      <c r="B2114" s="97" t="s">
        <v>446</v>
      </c>
      <c r="C2114" s="29" t="s">
        <v>447</v>
      </c>
      <c r="D2114" s="51"/>
      <c r="E2114" s="51"/>
      <c r="F2114" s="51"/>
      <c r="G2114" s="51">
        <v>9</v>
      </c>
      <c r="H2114" s="51">
        <v>9</v>
      </c>
      <c r="I2114" s="51">
        <v>9</v>
      </c>
      <c r="J2114" s="51">
        <v>9</v>
      </c>
      <c r="K2114" s="51">
        <v>9</v>
      </c>
      <c r="L2114" s="40" t="s">
        <v>556</v>
      </c>
      <c r="M2114" s="40">
        <v>1</v>
      </c>
      <c r="N2114" s="40">
        <v>1</v>
      </c>
      <c r="O2114" s="40" t="s">
        <v>556</v>
      </c>
      <c r="P2114" s="40">
        <v>1</v>
      </c>
      <c r="Q2114" s="33"/>
      <c r="R2114" s="33"/>
      <c r="S2114" s="33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</row>
    <row r="2115" spans="1:48" s="27" customFormat="1" ht="16.5" customHeight="1">
      <c r="A2115" s="12"/>
      <c r="B2115" s="97" t="s">
        <v>458</v>
      </c>
      <c r="C2115" s="29" t="s">
        <v>459</v>
      </c>
      <c r="D2115" s="51"/>
      <c r="E2115" s="51"/>
      <c r="F2115" s="51"/>
      <c r="G2115" s="51">
        <v>22</v>
      </c>
      <c r="H2115" s="51">
        <v>22</v>
      </c>
      <c r="I2115" s="51">
        <v>22</v>
      </c>
      <c r="J2115" s="51">
        <v>22</v>
      </c>
      <c r="K2115" s="51">
        <v>22</v>
      </c>
      <c r="L2115" s="40" t="s">
        <v>556</v>
      </c>
      <c r="M2115" s="40">
        <v>1</v>
      </c>
      <c r="N2115" s="40">
        <v>1</v>
      </c>
      <c r="O2115" s="40" t="s">
        <v>556</v>
      </c>
      <c r="P2115" s="40">
        <v>1</v>
      </c>
      <c r="Q2115" s="33"/>
      <c r="R2115" s="33"/>
      <c r="S2115" s="33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</row>
    <row r="2116" spans="1:57" s="43" customFormat="1" ht="16.5" customHeight="1">
      <c r="A2116" s="13"/>
      <c r="B2116" s="93" t="s">
        <v>670</v>
      </c>
      <c r="C2116" s="15"/>
      <c r="D2116" s="40"/>
      <c r="E2116" s="40"/>
      <c r="F2116" s="40"/>
      <c r="G2116" s="40"/>
      <c r="H2116" s="40"/>
      <c r="I2116" s="40"/>
      <c r="J2116" s="40"/>
      <c r="K2116" s="40"/>
      <c r="L2116" s="60"/>
      <c r="M2116" s="60"/>
      <c r="N2116" s="60">
        <v>2</v>
      </c>
      <c r="O2116" s="60">
        <v>4</v>
      </c>
      <c r="P2116" s="60">
        <v>3</v>
      </c>
      <c r="Q2116" s="70"/>
      <c r="R2116" s="41"/>
      <c r="S2116" s="41"/>
      <c r="T2116" s="46"/>
      <c r="U2116" s="46"/>
      <c r="V2116" s="46"/>
      <c r="W2116" s="46"/>
      <c r="X2116" s="46"/>
      <c r="Y2116" s="46"/>
      <c r="Z2116" s="46"/>
      <c r="AA2116" s="46"/>
      <c r="AB2116" s="46"/>
      <c r="AC2116" s="46"/>
      <c r="AD2116" s="46"/>
      <c r="AE2116" s="46"/>
      <c r="AF2116" s="46"/>
      <c r="AG2116" s="46"/>
      <c r="AH2116" s="46"/>
      <c r="AI2116" s="46"/>
      <c r="AJ2116" s="46"/>
      <c r="AK2116" s="46"/>
      <c r="AL2116" s="46"/>
      <c r="AM2116" s="46"/>
      <c r="AN2116" s="46"/>
      <c r="AO2116" s="46"/>
      <c r="AP2116" s="46"/>
      <c r="AQ2116" s="46"/>
      <c r="AR2116" s="46"/>
      <c r="AS2116" s="46"/>
      <c r="AT2116" s="46"/>
      <c r="AU2116" s="46"/>
      <c r="AV2116" s="46"/>
      <c r="BA2116" s="49"/>
      <c r="BB2116" s="42"/>
      <c r="BC2116" s="42"/>
      <c r="BD2116" s="42"/>
      <c r="BE2116" s="42"/>
    </row>
    <row r="2117" spans="1:57" s="43" customFormat="1" ht="16.5" customHeight="1">
      <c r="A2117" s="13"/>
      <c r="B2117" s="97" t="s">
        <v>566</v>
      </c>
      <c r="C2117" s="15" t="s">
        <v>567</v>
      </c>
      <c r="D2117" s="40"/>
      <c r="E2117" s="40"/>
      <c r="F2117" s="40"/>
      <c r="G2117" s="40">
        <v>2</v>
      </c>
      <c r="H2117" s="40">
        <v>2</v>
      </c>
      <c r="I2117" s="40">
        <v>2</v>
      </c>
      <c r="J2117" s="40">
        <v>2</v>
      </c>
      <c r="K2117" s="40">
        <v>2</v>
      </c>
      <c r="L2117" s="40" t="s">
        <v>556</v>
      </c>
      <c r="M2117" s="40" t="s">
        <v>556</v>
      </c>
      <c r="N2117" s="40" t="s">
        <v>556</v>
      </c>
      <c r="O2117" s="40">
        <v>1</v>
      </c>
      <c r="P2117" s="40">
        <v>1</v>
      </c>
      <c r="Q2117" s="70"/>
      <c r="R2117" s="41"/>
      <c r="S2117" s="41"/>
      <c r="T2117" s="46"/>
      <c r="U2117" s="46"/>
      <c r="V2117" s="46"/>
      <c r="W2117" s="46"/>
      <c r="X2117" s="46"/>
      <c r="Y2117" s="46"/>
      <c r="Z2117" s="46"/>
      <c r="AA2117" s="46"/>
      <c r="AB2117" s="46"/>
      <c r="AC2117" s="46"/>
      <c r="AD2117" s="46"/>
      <c r="AE2117" s="46"/>
      <c r="AF2117" s="46"/>
      <c r="AG2117" s="46"/>
      <c r="AH2117" s="46"/>
      <c r="AI2117" s="46"/>
      <c r="AJ2117" s="46"/>
      <c r="AK2117" s="46"/>
      <c r="AL2117" s="46"/>
      <c r="AM2117" s="46"/>
      <c r="AN2117" s="46"/>
      <c r="AO2117" s="46"/>
      <c r="AP2117" s="46"/>
      <c r="AQ2117" s="46"/>
      <c r="AR2117" s="46"/>
      <c r="AS2117" s="46"/>
      <c r="AT2117" s="46"/>
      <c r="AU2117" s="46"/>
      <c r="AV2117" s="46"/>
      <c r="BA2117" s="49"/>
      <c r="BB2117" s="42"/>
      <c r="BC2117" s="42"/>
      <c r="BD2117" s="42"/>
      <c r="BE2117" s="42"/>
    </row>
    <row r="2118" spans="1:48" s="43" customFormat="1" ht="16.5" customHeight="1">
      <c r="A2118" s="13"/>
      <c r="B2118" s="97" t="s">
        <v>561</v>
      </c>
      <c r="C2118" s="66" t="s">
        <v>804</v>
      </c>
      <c r="D2118" s="40"/>
      <c r="E2118" s="40"/>
      <c r="F2118" s="40"/>
      <c r="G2118" s="40">
        <v>5</v>
      </c>
      <c r="H2118" s="40">
        <v>5</v>
      </c>
      <c r="I2118" s="40">
        <v>5</v>
      </c>
      <c r="J2118" s="40">
        <v>5</v>
      </c>
      <c r="K2118" s="40">
        <v>5</v>
      </c>
      <c r="L2118" s="40" t="s">
        <v>556</v>
      </c>
      <c r="M2118" s="40" t="s">
        <v>556</v>
      </c>
      <c r="N2118" s="40">
        <v>1</v>
      </c>
      <c r="O2118" s="40">
        <v>1</v>
      </c>
      <c r="P2118" s="40" t="s">
        <v>556</v>
      </c>
      <c r="Q2118" s="70"/>
      <c r="R2118" s="70"/>
      <c r="S2118" s="70"/>
      <c r="T2118" s="46"/>
      <c r="U2118" s="46"/>
      <c r="V2118" s="46"/>
      <c r="W2118" s="46"/>
      <c r="X2118" s="46"/>
      <c r="Y2118" s="46"/>
      <c r="Z2118" s="46"/>
      <c r="AA2118" s="46"/>
      <c r="AB2118" s="46"/>
      <c r="AC2118" s="46"/>
      <c r="AD2118" s="46"/>
      <c r="AE2118" s="46"/>
      <c r="AF2118" s="46"/>
      <c r="AG2118" s="46"/>
      <c r="AH2118" s="46"/>
      <c r="AI2118" s="46"/>
      <c r="AJ2118" s="46"/>
      <c r="AK2118" s="46"/>
      <c r="AL2118" s="46"/>
      <c r="AM2118" s="46"/>
      <c r="AN2118" s="46"/>
      <c r="AO2118" s="46"/>
      <c r="AP2118" s="46"/>
      <c r="AQ2118" s="46"/>
      <c r="AR2118" s="46"/>
      <c r="AS2118" s="46"/>
      <c r="AT2118" s="46"/>
      <c r="AU2118" s="46"/>
      <c r="AV2118" s="46"/>
    </row>
    <row r="2119" spans="1:48" s="43" customFormat="1" ht="16.5" customHeight="1">
      <c r="A2119" s="13"/>
      <c r="B2119" s="97" t="s">
        <v>403</v>
      </c>
      <c r="C2119" s="15" t="s">
        <v>404</v>
      </c>
      <c r="D2119" s="40"/>
      <c r="E2119" s="40"/>
      <c r="F2119" s="40"/>
      <c r="G2119" s="40">
        <v>21</v>
      </c>
      <c r="H2119" s="40">
        <v>21</v>
      </c>
      <c r="I2119" s="40">
        <v>21</v>
      </c>
      <c r="J2119" s="40">
        <v>21</v>
      </c>
      <c r="K2119" s="40">
        <v>21</v>
      </c>
      <c r="L2119" s="40" t="s">
        <v>556</v>
      </c>
      <c r="M2119" s="40" t="s">
        <v>556</v>
      </c>
      <c r="N2119" s="40">
        <v>1</v>
      </c>
      <c r="O2119" s="40">
        <v>2</v>
      </c>
      <c r="P2119" s="40">
        <v>2</v>
      </c>
      <c r="Q2119" s="70"/>
      <c r="R2119" s="70"/>
      <c r="S2119" s="70"/>
      <c r="T2119" s="46"/>
      <c r="U2119" s="46"/>
      <c r="V2119" s="46"/>
      <c r="W2119" s="46"/>
      <c r="X2119" s="46"/>
      <c r="Y2119" s="46"/>
      <c r="Z2119" s="46"/>
      <c r="AA2119" s="46"/>
      <c r="AB2119" s="46"/>
      <c r="AC2119" s="46"/>
      <c r="AD2119" s="46"/>
      <c r="AE2119" s="46"/>
      <c r="AF2119" s="46"/>
      <c r="AG2119" s="46"/>
      <c r="AH2119" s="46"/>
      <c r="AI2119" s="46"/>
      <c r="AJ2119" s="46"/>
      <c r="AK2119" s="46"/>
      <c r="AL2119" s="46"/>
      <c r="AM2119" s="46"/>
      <c r="AN2119" s="46"/>
      <c r="AO2119" s="46"/>
      <c r="AP2119" s="46"/>
      <c r="AQ2119" s="46"/>
      <c r="AR2119" s="46"/>
      <c r="AS2119" s="46"/>
      <c r="AT2119" s="46"/>
      <c r="AU2119" s="46"/>
      <c r="AV2119" s="46"/>
    </row>
    <row r="2120" spans="1:188" s="62" customFormat="1" ht="18" customHeight="1">
      <c r="A2120" s="13">
        <v>3</v>
      </c>
      <c r="B2120" s="108" t="s">
        <v>323</v>
      </c>
      <c r="C2120" s="45"/>
      <c r="D2120" s="44">
        <v>2731</v>
      </c>
      <c r="E2120" s="44">
        <v>214</v>
      </c>
      <c r="F2120" s="44"/>
      <c r="G2120" s="44"/>
      <c r="H2120" s="44"/>
      <c r="I2120" s="44"/>
      <c r="J2120" s="44"/>
      <c r="K2120" s="44"/>
      <c r="L2120" s="44">
        <f>SUM(L2121,L2128,L2132)</f>
        <v>104</v>
      </c>
      <c r="M2120" s="44">
        <f>SUM(M2121,M2128,M2132)</f>
        <v>102</v>
      </c>
      <c r="N2120" s="44">
        <f>SUM(N2121,N2128,N2132)</f>
        <v>105</v>
      </c>
      <c r="O2120" s="44">
        <f>SUM(O2121,O2128,O2132)</f>
        <v>100</v>
      </c>
      <c r="P2120" s="44">
        <f>SUM(P2121,P2128,P2132)</f>
        <v>104</v>
      </c>
      <c r="Q2120" s="54" t="s">
        <v>648</v>
      </c>
      <c r="R2120" s="54">
        <v>1</v>
      </c>
      <c r="S2120" s="55" t="s">
        <v>553</v>
      </c>
      <c r="T2120" s="56"/>
      <c r="U2120" s="56"/>
      <c r="V2120" s="56"/>
      <c r="W2120" s="56"/>
      <c r="X2120" s="56"/>
      <c r="Y2120" s="56"/>
      <c r="Z2120" s="56"/>
      <c r="AA2120" s="56"/>
      <c r="AB2120" s="56"/>
      <c r="AC2120" s="56"/>
      <c r="AD2120" s="56"/>
      <c r="AE2120" s="56"/>
      <c r="AF2120" s="56"/>
      <c r="AG2120" s="56"/>
      <c r="AH2120" s="56"/>
      <c r="AI2120" s="56"/>
      <c r="AJ2120" s="56"/>
      <c r="AK2120" s="56"/>
      <c r="AL2120" s="56"/>
      <c r="AM2120" s="56"/>
      <c r="AN2120" s="56"/>
      <c r="AO2120" s="56"/>
      <c r="AP2120" s="56"/>
      <c r="AQ2120" s="56"/>
      <c r="AR2120" s="56"/>
      <c r="AS2120" s="56"/>
      <c r="AT2120" s="56"/>
      <c r="AU2120" s="56"/>
      <c r="AV2120" s="56"/>
      <c r="AW2120" s="56"/>
      <c r="AX2120" s="56"/>
      <c r="AY2120" s="56"/>
      <c r="AZ2120" s="56"/>
      <c r="BA2120" s="56"/>
      <c r="BB2120" s="56"/>
      <c r="BC2120" s="56"/>
      <c r="BD2120" s="56"/>
      <c r="BE2120" s="56"/>
      <c r="BF2120" s="56"/>
      <c r="BG2120" s="56"/>
      <c r="BH2120" s="56"/>
      <c r="BI2120" s="56"/>
      <c r="BJ2120" s="56"/>
      <c r="BK2120" s="56"/>
      <c r="BL2120" s="56"/>
      <c r="BM2120" s="56"/>
      <c r="BN2120" s="56"/>
      <c r="BO2120" s="56"/>
      <c r="BP2120" s="56"/>
      <c r="BQ2120" s="56"/>
      <c r="BR2120" s="56"/>
      <c r="BS2120" s="56"/>
      <c r="BT2120" s="56"/>
      <c r="BU2120" s="56"/>
      <c r="BV2120" s="56"/>
      <c r="BW2120" s="56"/>
      <c r="BX2120" s="56"/>
      <c r="BY2120" s="56"/>
      <c r="BZ2120" s="56"/>
      <c r="CA2120" s="56"/>
      <c r="CB2120" s="56"/>
      <c r="CC2120" s="56"/>
      <c r="CD2120" s="56"/>
      <c r="CE2120" s="56"/>
      <c r="CF2120" s="56"/>
      <c r="CG2120" s="56"/>
      <c r="CH2120" s="56"/>
      <c r="CI2120" s="56"/>
      <c r="CJ2120" s="56"/>
      <c r="CK2120" s="56"/>
      <c r="CL2120" s="56"/>
      <c r="CM2120" s="56"/>
      <c r="CN2120" s="56"/>
      <c r="CO2120" s="56"/>
      <c r="CP2120" s="56"/>
      <c r="CQ2120" s="56"/>
      <c r="CR2120" s="56"/>
      <c r="CS2120" s="56"/>
      <c r="CT2120" s="56"/>
      <c r="CU2120" s="56"/>
      <c r="CV2120" s="56"/>
      <c r="CW2120" s="56"/>
      <c r="CX2120" s="56"/>
      <c r="CY2120" s="56"/>
      <c r="CZ2120" s="56"/>
      <c r="DA2120" s="56"/>
      <c r="DB2120" s="56"/>
      <c r="DC2120" s="56"/>
      <c r="DD2120" s="56"/>
      <c r="DE2120" s="56"/>
      <c r="DF2120" s="56"/>
      <c r="DG2120" s="56"/>
      <c r="DH2120" s="56"/>
      <c r="DI2120" s="56"/>
      <c r="DJ2120" s="56"/>
      <c r="DK2120" s="56"/>
      <c r="DL2120" s="56"/>
      <c r="DM2120" s="56"/>
      <c r="DN2120" s="56"/>
      <c r="DO2120" s="56"/>
      <c r="DP2120" s="56"/>
      <c r="DQ2120" s="56"/>
      <c r="DR2120" s="56"/>
      <c r="DS2120" s="56"/>
      <c r="DT2120" s="56"/>
      <c r="DU2120" s="56"/>
      <c r="DV2120" s="56"/>
      <c r="DW2120" s="56"/>
      <c r="DX2120" s="56"/>
      <c r="DY2120" s="56"/>
      <c r="DZ2120" s="56"/>
      <c r="EA2120" s="56"/>
      <c r="EB2120" s="56"/>
      <c r="EC2120" s="56"/>
      <c r="ED2120" s="56"/>
      <c r="EE2120" s="56"/>
      <c r="EF2120" s="56"/>
      <c r="EG2120" s="56"/>
      <c r="EH2120" s="56"/>
      <c r="EI2120" s="56"/>
      <c r="EJ2120" s="56"/>
      <c r="EK2120" s="56"/>
      <c r="EL2120" s="56"/>
      <c r="EM2120" s="56"/>
      <c r="EN2120" s="56"/>
      <c r="EO2120" s="56"/>
      <c r="EP2120" s="56"/>
      <c r="EQ2120" s="56"/>
      <c r="ER2120" s="56"/>
      <c r="ES2120" s="56"/>
      <c r="ET2120" s="56"/>
      <c r="EU2120" s="56"/>
      <c r="EV2120" s="56"/>
      <c r="EW2120" s="56"/>
      <c r="EX2120" s="56"/>
      <c r="EY2120" s="56"/>
      <c r="EZ2120" s="56"/>
      <c r="FA2120" s="56"/>
      <c r="FB2120" s="56"/>
      <c r="FC2120" s="56"/>
      <c r="FD2120" s="56"/>
      <c r="FE2120" s="56"/>
      <c r="FF2120" s="56"/>
      <c r="FG2120" s="56"/>
      <c r="FH2120" s="56"/>
      <c r="FI2120" s="56"/>
      <c r="FJ2120" s="56"/>
      <c r="FK2120" s="56"/>
      <c r="FL2120" s="56"/>
      <c r="FM2120" s="56"/>
      <c r="FN2120" s="56"/>
      <c r="FO2120" s="56"/>
      <c r="FP2120" s="56"/>
      <c r="FQ2120" s="56"/>
      <c r="FR2120" s="56"/>
      <c r="FS2120" s="56"/>
      <c r="FT2120" s="56"/>
      <c r="FU2120" s="56"/>
      <c r="FV2120" s="56"/>
      <c r="FW2120" s="56"/>
      <c r="FX2120" s="56"/>
      <c r="FY2120" s="56"/>
      <c r="FZ2120" s="56"/>
      <c r="GA2120" s="56"/>
      <c r="GB2120" s="56"/>
      <c r="GC2120" s="56"/>
      <c r="GD2120" s="56"/>
      <c r="GE2120" s="56"/>
      <c r="GF2120" s="56"/>
    </row>
    <row r="2121" spans="1:48" s="18" customFormat="1" ht="18" customHeight="1">
      <c r="A2121" s="50"/>
      <c r="B2121" s="93" t="s">
        <v>669</v>
      </c>
      <c r="C2121" s="16"/>
      <c r="D2121" s="52"/>
      <c r="E2121" s="52"/>
      <c r="F2121" s="52"/>
      <c r="G2121" s="52"/>
      <c r="H2121" s="52"/>
      <c r="I2121" s="52"/>
      <c r="J2121" s="52"/>
      <c r="K2121" s="52"/>
      <c r="L2121" s="60">
        <f>SUM(L2122:L2127)</f>
        <v>98</v>
      </c>
      <c r="M2121" s="60">
        <f>SUM(M2122:M2127)</f>
        <v>95</v>
      </c>
      <c r="N2121" s="60">
        <f>SUM(N2122:N2127)</f>
        <v>98</v>
      </c>
      <c r="O2121" s="60">
        <f>SUM(O2122:O2127)</f>
        <v>94</v>
      </c>
      <c r="P2121" s="60">
        <f>SUM(P2122:P2127)</f>
        <v>97</v>
      </c>
      <c r="Q2121" s="23"/>
      <c r="R2121" s="23"/>
      <c r="S2121" s="17"/>
      <c r="T2121" s="47"/>
      <c r="U2121" s="47"/>
      <c r="V2121" s="47"/>
      <c r="W2121" s="47"/>
      <c r="X2121" s="47"/>
      <c r="Y2121" s="47"/>
      <c r="Z2121" s="47"/>
      <c r="AA2121" s="47"/>
      <c r="AB2121" s="47"/>
      <c r="AC2121" s="47"/>
      <c r="AD2121" s="47"/>
      <c r="AE2121" s="47"/>
      <c r="AF2121" s="47"/>
      <c r="AG2121" s="47"/>
      <c r="AH2121" s="47"/>
      <c r="AI2121" s="47"/>
      <c r="AJ2121" s="47"/>
      <c r="AK2121" s="47"/>
      <c r="AL2121" s="47"/>
      <c r="AM2121" s="47"/>
      <c r="AN2121" s="47"/>
      <c r="AO2121" s="47"/>
      <c r="AP2121" s="47"/>
      <c r="AQ2121" s="47"/>
      <c r="AR2121" s="47"/>
      <c r="AS2121" s="47"/>
      <c r="AT2121" s="47"/>
      <c r="AU2121" s="47"/>
      <c r="AV2121" s="47"/>
    </row>
    <row r="2122" spans="1:48" s="27" customFormat="1" ht="18" customHeight="1">
      <c r="A2122" s="12"/>
      <c r="B2122" s="97" t="s">
        <v>411</v>
      </c>
      <c r="C2122" s="15" t="s">
        <v>412</v>
      </c>
      <c r="D2122" s="51"/>
      <c r="E2122" s="51"/>
      <c r="F2122" s="51"/>
      <c r="G2122" s="51"/>
      <c r="H2122" s="51"/>
      <c r="I2122" s="51"/>
      <c r="J2122" s="51"/>
      <c r="K2122" s="51"/>
      <c r="L2122" s="40">
        <v>12</v>
      </c>
      <c r="M2122" s="40">
        <v>10</v>
      </c>
      <c r="N2122" s="40">
        <v>12</v>
      </c>
      <c r="O2122" s="40">
        <v>10</v>
      </c>
      <c r="P2122" s="40">
        <v>12</v>
      </c>
      <c r="Q2122" s="30"/>
      <c r="R2122" s="30"/>
      <c r="S2122" s="30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</row>
    <row r="2123" spans="1:48" s="27" customFormat="1" ht="18" customHeight="1">
      <c r="A2123" s="12"/>
      <c r="B2123" s="97" t="s">
        <v>446</v>
      </c>
      <c r="C2123" s="29" t="s">
        <v>447</v>
      </c>
      <c r="D2123" s="51"/>
      <c r="E2123" s="51"/>
      <c r="F2123" s="51"/>
      <c r="G2123" s="51"/>
      <c r="H2123" s="51"/>
      <c r="I2123" s="51"/>
      <c r="J2123" s="51"/>
      <c r="K2123" s="51"/>
      <c r="L2123" s="40">
        <v>3</v>
      </c>
      <c r="M2123" s="40">
        <v>2</v>
      </c>
      <c r="N2123" s="40">
        <v>3</v>
      </c>
      <c r="O2123" s="40">
        <v>2</v>
      </c>
      <c r="P2123" s="40">
        <v>1</v>
      </c>
      <c r="Q2123" s="30"/>
      <c r="R2123" s="30"/>
      <c r="S2123" s="30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</row>
    <row r="2124" spans="1:48" s="27" customFormat="1" ht="18" customHeight="1">
      <c r="A2124" s="12"/>
      <c r="B2124" s="97" t="s">
        <v>460</v>
      </c>
      <c r="C2124" s="29" t="s">
        <v>544</v>
      </c>
      <c r="D2124" s="51"/>
      <c r="E2124" s="51"/>
      <c r="F2124" s="51"/>
      <c r="G2124" s="51"/>
      <c r="H2124" s="51"/>
      <c r="I2124" s="51"/>
      <c r="J2124" s="51"/>
      <c r="K2124" s="51"/>
      <c r="L2124" s="40">
        <v>1</v>
      </c>
      <c r="M2124" s="40" t="s">
        <v>556</v>
      </c>
      <c r="N2124" s="40">
        <v>1</v>
      </c>
      <c r="O2124" s="40" t="s">
        <v>556</v>
      </c>
      <c r="P2124" s="40">
        <v>1</v>
      </c>
      <c r="Q2124" s="30"/>
      <c r="R2124" s="30"/>
      <c r="S2124" s="30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</row>
    <row r="2125" spans="1:48" s="27" customFormat="1" ht="18" customHeight="1">
      <c r="A2125" s="12"/>
      <c r="B2125" s="97" t="s">
        <v>450</v>
      </c>
      <c r="C2125" s="29" t="s">
        <v>451</v>
      </c>
      <c r="D2125" s="51"/>
      <c r="E2125" s="51"/>
      <c r="F2125" s="51"/>
      <c r="G2125" s="51"/>
      <c r="H2125" s="51"/>
      <c r="I2125" s="51"/>
      <c r="J2125" s="51"/>
      <c r="K2125" s="51"/>
      <c r="L2125" s="40" t="s">
        <v>556</v>
      </c>
      <c r="M2125" s="40">
        <v>1</v>
      </c>
      <c r="N2125" s="40" t="s">
        <v>556</v>
      </c>
      <c r="O2125" s="40" t="s">
        <v>556</v>
      </c>
      <c r="P2125" s="40">
        <v>1</v>
      </c>
      <c r="Q2125" s="30"/>
      <c r="R2125" s="30"/>
      <c r="S2125" s="30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</row>
    <row r="2126" spans="1:48" s="27" customFormat="1" ht="18" customHeight="1">
      <c r="A2126" s="12"/>
      <c r="B2126" s="97" t="s">
        <v>558</v>
      </c>
      <c r="C2126" s="29" t="s">
        <v>452</v>
      </c>
      <c r="D2126" s="51"/>
      <c r="E2126" s="51"/>
      <c r="F2126" s="51"/>
      <c r="G2126" s="51"/>
      <c r="H2126" s="51"/>
      <c r="I2126" s="51"/>
      <c r="J2126" s="51"/>
      <c r="K2126" s="51"/>
      <c r="L2126" s="40">
        <v>28</v>
      </c>
      <c r="M2126" s="40">
        <v>28</v>
      </c>
      <c r="N2126" s="40">
        <v>28</v>
      </c>
      <c r="O2126" s="40">
        <v>28</v>
      </c>
      <c r="P2126" s="40">
        <v>28</v>
      </c>
      <c r="Q2126" s="30"/>
      <c r="R2126" s="30"/>
      <c r="S2126" s="30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</row>
    <row r="2127" spans="1:48" s="27" customFormat="1" ht="18" customHeight="1">
      <c r="A2127" s="12"/>
      <c r="B2127" s="97" t="s">
        <v>555</v>
      </c>
      <c r="C2127" s="29" t="s">
        <v>445</v>
      </c>
      <c r="D2127" s="51"/>
      <c r="E2127" s="51"/>
      <c r="F2127" s="51"/>
      <c r="G2127" s="51"/>
      <c r="H2127" s="51"/>
      <c r="I2127" s="51"/>
      <c r="J2127" s="51"/>
      <c r="K2127" s="51"/>
      <c r="L2127" s="40">
        <v>54</v>
      </c>
      <c r="M2127" s="40">
        <v>54</v>
      </c>
      <c r="N2127" s="40">
        <v>54</v>
      </c>
      <c r="O2127" s="40">
        <v>54</v>
      </c>
      <c r="P2127" s="40">
        <v>54</v>
      </c>
      <c r="Q2127" s="30"/>
      <c r="R2127" s="30"/>
      <c r="S2127" s="30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</row>
    <row r="2128" spans="1:48" s="18" customFormat="1" ht="18" customHeight="1">
      <c r="A2128" s="50"/>
      <c r="B2128" s="93" t="s">
        <v>670</v>
      </c>
      <c r="C2128" s="16"/>
      <c r="D2128" s="52"/>
      <c r="E2128" s="52"/>
      <c r="F2128" s="52"/>
      <c r="G2128" s="52"/>
      <c r="H2128" s="52"/>
      <c r="I2128" s="52"/>
      <c r="J2128" s="52"/>
      <c r="K2128" s="52"/>
      <c r="L2128" s="60">
        <f>SUM(L2129:L2131)</f>
        <v>4</v>
      </c>
      <c r="M2128" s="60">
        <f>SUM(M2129:M2131)</f>
        <v>6</v>
      </c>
      <c r="N2128" s="60">
        <f>SUM(N2129:N2131)</f>
        <v>4</v>
      </c>
      <c r="O2128" s="60">
        <f>SUM(O2129:O2131)</f>
        <v>4</v>
      </c>
      <c r="P2128" s="60">
        <f>SUM(P2129:P2131)</f>
        <v>5</v>
      </c>
      <c r="Q2128" s="23"/>
      <c r="R2128" s="23"/>
      <c r="S2128" s="17"/>
      <c r="T2128" s="47"/>
      <c r="U2128" s="47"/>
      <c r="V2128" s="47"/>
      <c r="W2128" s="47"/>
      <c r="X2128" s="47"/>
      <c r="Y2128" s="47"/>
      <c r="Z2128" s="47"/>
      <c r="AA2128" s="47"/>
      <c r="AB2128" s="47"/>
      <c r="AC2128" s="47"/>
      <c r="AD2128" s="47"/>
      <c r="AE2128" s="47"/>
      <c r="AF2128" s="47"/>
      <c r="AG2128" s="47"/>
      <c r="AH2128" s="47"/>
      <c r="AI2128" s="47"/>
      <c r="AJ2128" s="47"/>
      <c r="AK2128" s="47"/>
      <c r="AL2128" s="47"/>
      <c r="AM2128" s="47"/>
      <c r="AN2128" s="47"/>
      <c r="AO2128" s="47"/>
      <c r="AP2128" s="47"/>
      <c r="AQ2128" s="47"/>
      <c r="AR2128" s="47"/>
      <c r="AS2128" s="47"/>
      <c r="AT2128" s="47"/>
      <c r="AU2128" s="47"/>
      <c r="AV2128" s="47"/>
    </row>
    <row r="2129" spans="1:48" s="27" customFormat="1" ht="18" customHeight="1">
      <c r="A2129" s="12"/>
      <c r="B2129" s="97" t="s">
        <v>566</v>
      </c>
      <c r="C2129" s="29" t="s">
        <v>567</v>
      </c>
      <c r="D2129" s="51"/>
      <c r="E2129" s="51"/>
      <c r="F2129" s="51"/>
      <c r="G2129" s="51"/>
      <c r="H2129" s="51"/>
      <c r="I2129" s="51"/>
      <c r="J2129" s="51"/>
      <c r="K2129" s="51"/>
      <c r="L2129" s="40">
        <v>1</v>
      </c>
      <c r="M2129" s="40">
        <v>2</v>
      </c>
      <c r="N2129" s="40">
        <v>1</v>
      </c>
      <c r="O2129" s="40">
        <v>1</v>
      </c>
      <c r="P2129" s="40">
        <v>1</v>
      </c>
      <c r="Q2129" s="33">
        <v>1</v>
      </c>
      <c r="R2129" s="28">
        <v>1</v>
      </c>
      <c r="S2129" s="28">
        <v>1</v>
      </c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</row>
    <row r="2130" spans="1:48" s="27" customFormat="1" ht="18" customHeight="1">
      <c r="A2130" s="12"/>
      <c r="B2130" s="97" t="s">
        <v>455</v>
      </c>
      <c r="C2130" s="29" t="s">
        <v>456</v>
      </c>
      <c r="D2130" s="51"/>
      <c r="E2130" s="51"/>
      <c r="F2130" s="51"/>
      <c r="G2130" s="51"/>
      <c r="H2130" s="51"/>
      <c r="I2130" s="51"/>
      <c r="J2130" s="51"/>
      <c r="K2130" s="51"/>
      <c r="L2130" s="40">
        <v>3</v>
      </c>
      <c r="M2130" s="40">
        <v>3</v>
      </c>
      <c r="N2130" s="40">
        <v>3</v>
      </c>
      <c r="O2130" s="40">
        <v>3</v>
      </c>
      <c r="P2130" s="40">
        <v>3</v>
      </c>
      <c r="Q2130" s="33"/>
      <c r="R2130" s="33"/>
      <c r="S2130" s="33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</row>
    <row r="2131" spans="1:48" s="27" customFormat="1" ht="18" customHeight="1">
      <c r="A2131" s="12"/>
      <c r="B2131" s="97" t="s">
        <v>403</v>
      </c>
      <c r="C2131" s="29" t="s">
        <v>404</v>
      </c>
      <c r="D2131" s="51"/>
      <c r="E2131" s="51"/>
      <c r="F2131" s="51"/>
      <c r="G2131" s="51"/>
      <c r="H2131" s="51"/>
      <c r="I2131" s="51"/>
      <c r="J2131" s="51"/>
      <c r="K2131" s="51"/>
      <c r="L2131" s="40" t="s">
        <v>556</v>
      </c>
      <c r="M2131" s="40">
        <v>1</v>
      </c>
      <c r="N2131" s="40" t="s">
        <v>556</v>
      </c>
      <c r="O2131" s="40" t="s">
        <v>556</v>
      </c>
      <c r="P2131" s="40">
        <v>1</v>
      </c>
      <c r="Q2131" s="33"/>
      <c r="R2131" s="33"/>
      <c r="S2131" s="33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</row>
    <row r="2132" spans="1:48" s="18" customFormat="1" ht="18" customHeight="1">
      <c r="A2132" s="50"/>
      <c r="B2132" s="93" t="s">
        <v>37</v>
      </c>
      <c r="C2132" s="16"/>
      <c r="D2132" s="52"/>
      <c r="E2132" s="52"/>
      <c r="F2132" s="52"/>
      <c r="G2132" s="52"/>
      <c r="H2132" s="52"/>
      <c r="I2132" s="52"/>
      <c r="J2132" s="52"/>
      <c r="K2132" s="52"/>
      <c r="L2132" s="60">
        <f>SUM(L2133:L2135)</f>
        <v>2</v>
      </c>
      <c r="M2132" s="60">
        <f>SUM(M2133:M2135)</f>
        <v>1</v>
      </c>
      <c r="N2132" s="60">
        <f>SUM(N2133:N2135)</f>
        <v>3</v>
      </c>
      <c r="O2132" s="60">
        <f>SUM(O2133:O2135)</f>
        <v>2</v>
      </c>
      <c r="P2132" s="60">
        <f>SUM(P2133:P2135)</f>
        <v>2</v>
      </c>
      <c r="Q2132" s="23"/>
      <c r="R2132" s="23"/>
      <c r="S2132" s="17"/>
      <c r="T2132" s="47"/>
      <c r="U2132" s="47"/>
      <c r="V2132" s="47"/>
      <c r="W2132" s="47"/>
      <c r="X2132" s="47"/>
      <c r="Y2132" s="47"/>
      <c r="Z2132" s="47"/>
      <c r="AA2132" s="47"/>
      <c r="AB2132" s="47"/>
      <c r="AC2132" s="47"/>
      <c r="AD2132" s="47"/>
      <c r="AE2132" s="47"/>
      <c r="AF2132" s="47"/>
      <c r="AG2132" s="47"/>
      <c r="AH2132" s="47"/>
      <c r="AI2132" s="47"/>
      <c r="AJ2132" s="47"/>
      <c r="AK2132" s="47"/>
      <c r="AL2132" s="47"/>
      <c r="AM2132" s="47"/>
      <c r="AN2132" s="47"/>
      <c r="AO2132" s="47"/>
      <c r="AP2132" s="47"/>
      <c r="AQ2132" s="47"/>
      <c r="AR2132" s="47"/>
      <c r="AS2132" s="47"/>
      <c r="AT2132" s="47"/>
      <c r="AU2132" s="47"/>
      <c r="AV2132" s="47"/>
    </row>
    <row r="2133" spans="1:48" s="27" customFormat="1" ht="18" customHeight="1">
      <c r="A2133" s="12"/>
      <c r="B2133" s="97" t="s">
        <v>38</v>
      </c>
      <c r="C2133" s="64" t="s">
        <v>457</v>
      </c>
      <c r="D2133" s="51"/>
      <c r="E2133" s="51"/>
      <c r="F2133" s="51"/>
      <c r="G2133" s="51"/>
      <c r="H2133" s="51"/>
      <c r="I2133" s="51"/>
      <c r="J2133" s="51"/>
      <c r="K2133" s="51"/>
      <c r="L2133" s="40">
        <v>1</v>
      </c>
      <c r="M2133" s="40">
        <v>1</v>
      </c>
      <c r="N2133" s="40">
        <v>1</v>
      </c>
      <c r="O2133" s="40">
        <v>1</v>
      </c>
      <c r="P2133" s="40">
        <v>1</v>
      </c>
      <c r="Q2133" s="33">
        <v>1</v>
      </c>
      <c r="R2133" s="28">
        <v>1</v>
      </c>
      <c r="S2133" s="28">
        <v>1</v>
      </c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</row>
    <row r="2134" spans="1:48" s="27" customFormat="1" ht="18" customHeight="1">
      <c r="A2134" s="12"/>
      <c r="B2134" s="97" t="s">
        <v>1045</v>
      </c>
      <c r="C2134" s="29" t="s">
        <v>1046</v>
      </c>
      <c r="D2134" s="51"/>
      <c r="E2134" s="51"/>
      <c r="F2134" s="51"/>
      <c r="G2134" s="51"/>
      <c r="H2134" s="51"/>
      <c r="I2134" s="51"/>
      <c r="J2134" s="51"/>
      <c r="K2134" s="51"/>
      <c r="L2134" s="40" t="s">
        <v>556</v>
      </c>
      <c r="M2134" s="40" t="s">
        <v>556</v>
      </c>
      <c r="N2134" s="40">
        <v>1</v>
      </c>
      <c r="O2134" s="40" t="s">
        <v>556</v>
      </c>
      <c r="P2134" s="40">
        <v>1</v>
      </c>
      <c r="Q2134" s="33"/>
      <c r="R2134" s="33"/>
      <c r="S2134" s="33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</row>
    <row r="2135" spans="1:48" s="27" customFormat="1" ht="18" customHeight="1">
      <c r="A2135" s="12"/>
      <c r="B2135" s="97" t="s">
        <v>95</v>
      </c>
      <c r="C2135" s="29" t="s">
        <v>96</v>
      </c>
      <c r="D2135" s="51"/>
      <c r="E2135" s="51"/>
      <c r="F2135" s="51"/>
      <c r="G2135" s="51"/>
      <c r="H2135" s="51"/>
      <c r="I2135" s="51"/>
      <c r="J2135" s="51"/>
      <c r="K2135" s="51"/>
      <c r="L2135" s="40">
        <v>1</v>
      </c>
      <c r="M2135" s="40" t="s">
        <v>556</v>
      </c>
      <c r="N2135" s="40">
        <v>1</v>
      </c>
      <c r="O2135" s="40">
        <v>1</v>
      </c>
      <c r="P2135" s="40" t="s">
        <v>556</v>
      </c>
      <c r="Q2135" s="33"/>
      <c r="R2135" s="33"/>
      <c r="S2135" s="33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</row>
    <row r="2136" spans="1:19" ht="13.5" customHeight="1">
      <c r="A2136" s="400" t="s">
        <v>909</v>
      </c>
      <c r="B2136" s="400"/>
      <c r="C2136" s="400"/>
      <c r="D2136" s="400"/>
      <c r="E2136" s="400"/>
      <c r="F2136" s="400"/>
      <c r="G2136" s="400"/>
      <c r="H2136" s="400"/>
      <c r="I2136" s="400"/>
      <c r="J2136" s="400"/>
      <c r="K2136" s="400"/>
      <c r="L2136" s="400"/>
      <c r="M2136" s="400"/>
      <c r="N2136" s="400"/>
      <c r="O2136" s="400"/>
      <c r="P2136" s="400"/>
      <c r="Q2136" s="21"/>
      <c r="R2136" s="21"/>
      <c r="S2136" s="8"/>
    </row>
    <row r="2137" spans="1:188" s="57" customFormat="1" ht="17.25" customHeight="1">
      <c r="A2137" s="13">
        <v>4</v>
      </c>
      <c r="B2137" s="92" t="s">
        <v>324</v>
      </c>
      <c r="C2137" s="45"/>
      <c r="D2137" s="44">
        <v>50</v>
      </c>
      <c r="E2137" s="44">
        <v>2</v>
      </c>
      <c r="F2137" s="44"/>
      <c r="G2137" s="44"/>
      <c r="H2137" s="44"/>
      <c r="I2137" s="44"/>
      <c r="J2137" s="44"/>
      <c r="K2137" s="44"/>
      <c r="L2137" s="44">
        <f>SUM(L2138,L2142)</f>
        <v>6</v>
      </c>
      <c r="M2137" s="44">
        <f>SUM(M2138,M2142)</f>
        <v>6</v>
      </c>
      <c r="N2137" s="44">
        <f>SUM(N2138,N2142)</f>
        <v>6</v>
      </c>
      <c r="O2137" s="44">
        <f>SUM(O2138,O2142)</f>
        <v>6</v>
      </c>
      <c r="P2137" s="44">
        <f>SUM(P2138,P2142)</f>
        <v>6</v>
      </c>
      <c r="Q2137" s="54" t="s">
        <v>649</v>
      </c>
      <c r="R2137" s="54">
        <v>3</v>
      </c>
      <c r="S2137" s="59" t="s">
        <v>1310</v>
      </c>
      <c r="T2137" s="56"/>
      <c r="U2137" s="56"/>
      <c r="V2137" s="56"/>
      <c r="W2137" s="56"/>
      <c r="X2137" s="56"/>
      <c r="Y2137" s="56"/>
      <c r="Z2137" s="56"/>
      <c r="AA2137" s="56"/>
      <c r="AB2137" s="56"/>
      <c r="AC2137" s="56"/>
      <c r="AD2137" s="56"/>
      <c r="AE2137" s="56"/>
      <c r="AF2137" s="56"/>
      <c r="AG2137" s="56"/>
      <c r="AH2137" s="56"/>
      <c r="AI2137" s="56"/>
      <c r="AJ2137" s="56"/>
      <c r="AK2137" s="56"/>
      <c r="AL2137" s="56"/>
      <c r="AM2137" s="56"/>
      <c r="AN2137" s="56"/>
      <c r="AO2137" s="56"/>
      <c r="AP2137" s="56"/>
      <c r="AQ2137" s="56"/>
      <c r="AR2137" s="56"/>
      <c r="AS2137" s="56"/>
      <c r="AT2137" s="56"/>
      <c r="AU2137" s="56"/>
      <c r="AV2137" s="56"/>
      <c r="AW2137" s="56"/>
      <c r="AX2137" s="56"/>
      <c r="AY2137" s="56"/>
      <c r="AZ2137" s="56"/>
      <c r="BA2137" s="56"/>
      <c r="BB2137" s="56"/>
      <c r="BC2137" s="56"/>
      <c r="BD2137" s="56"/>
      <c r="BE2137" s="56"/>
      <c r="BF2137" s="56"/>
      <c r="BG2137" s="56"/>
      <c r="BH2137" s="56"/>
      <c r="BI2137" s="56"/>
      <c r="BJ2137" s="56"/>
      <c r="BK2137" s="56"/>
      <c r="BL2137" s="56"/>
      <c r="BM2137" s="56"/>
      <c r="BN2137" s="56"/>
      <c r="BO2137" s="56"/>
      <c r="BP2137" s="56"/>
      <c r="BQ2137" s="56"/>
      <c r="BR2137" s="56"/>
      <c r="BS2137" s="56"/>
      <c r="BT2137" s="56"/>
      <c r="BU2137" s="56"/>
      <c r="BV2137" s="56"/>
      <c r="BW2137" s="56"/>
      <c r="BX2137" s="56"/>
      <c r="BY2137" s="56"/>
      <c r="BZ2137" s="56"/>
      <c r="CA2137" s="56"/>
      <c r="CB2137" s="56"/>
      <c r="CC2137" s="56"/>
      <c r="CD2137" s="56"/>
      <c r="CE2137" s="56"/>
      <c r="CF2137" s="56"/>
      <c r="CG2137" s="56"/>
      <c r="CH2137" s="56"/>
      <c r="CI2137" s="56"/>
      <c r="CJ2137" s="56"/>
      <c r="CK2137" s="56"/>
      <c r="CL2137" s="56"/>
      <c r="CM2137" s="56"/>
      <c r="CN2137" s="56"/>
      <c r="CO2137" s="56"/>
      <c r="CP2137" s="56"/>
      <c r="CQ2137" s="56"/>
      <c r="CR2137" s="56"/>
      <c r="CS2137" s="56"/>
      <c r="CT2137" s="56"/>
      <c r="CU2137" s="56"/>
      <c r="CV2137" s="56"/>
      <c r="CW2137" s="56"/>
      <c r="CX2137" s="56"/>
      <c r="CY2137" s="56"/>
      <c r="CZ2137" s="56"/>
      <c r="DA2137" s="56"/>
      <c r="DB2137" s="56"/>
      <c r="DC2137" s="56"/>
      <c r="DD2137" s="56"/>
      <c r="DE2137" s="56"/>
      <c r="DF2137" s="56"/>
      <c r="DG2137" s="56"/>
      <c r="DH2137" s="56"/>
      <c r="DI2137" s="56"/>
      <c r="DJ2137" s="56"/>
      <c r="DK2137" s="56"/>
      <c r="DL2137" s="56"/>
      <c r="DM2137" s="56"/>
      <c r="DN2137" s="56"/>
      <c r="DO2137" s="56"/>
      <c r="DP2137" s="56"/>
      <c r="DQ2137" s="56"/>
      <c r="DR2137" s="56"/>
      <c r="DS2137" s="56"/>
      <c r="DT2137" s="56"/>
      <c r="DU2137" s="56"/>
      <c r="DV2137" s="56"/>
      <c r="DW2137" s="56"/>
      <c r="DX2137" s="56"/>
      <c r="DY2137" s="56"/>
      <c r="DZ2137" s="56"/>
      <c r="EA2137" s="56"/>
      <c r="EB2137" s="56"/>
      <c r="EC2137" s="56"/>
      <c r="ED2137" s="56"/>
      <c r="EE2137" s="56"/>
      <c r="EF2137" s="56"/>
      <c r="EG2137" s="56"/>
      <c r="EH2137" s="56"/>
      <c r="EI2137" s="56"/>
      <c r="EJ2137" s="56"/>
      <c r="EK2137" s="56"/>
      <c r="EL2137" s="56"/>
      <c r="EM2137" s="56"/>
      <c r="EN2137" s="56"/>
      <c r="EO2137" s="56"/>
      <c r="EP2137" s="56"/>
      <c r="EQ2137" s="56"/>
      <c r="ER2137" s="56"/>
      <c r="ES2137" s="56"/>
      <c r="ET2137" s="56"/>
      <c r="EU2137" s="56"/>
      <c r="EV2137" s="56"/>
      <c r="EW2137" s="56"/>
      <c r="EX2137" s="56"/>
      <c r="EY2137" s="56"/>
      <c r="EZ2137" s="56"/>
      <c r="FA2137" s="56"/>
      <c r="FB2137" s="56"/>
      <c r="FC2137" s="56"/>
      <c r="FD2137" s="56"/>
      <c r="FE2137" s="56"/>
      <c r="FF2137" s="56"/>
      <c r="FG2137" s="56"/>
      <c r="FH2137" s="56"/>
      <c r="FI2137" s="56"/>
      <c r="FJ2137" s="56"/>
      <c r="FK2137" s="56"/>
      <c r="FL2137" s="56"/>
      <c r="FM2137" s="56"/>
      <c r="FN2137" s="56"/>
      <c r="FO2137" s="56"/>
      <c r="FP2137" s="56"/>
      <c r="FQ2137" s="56"/>
      <c r="FR2137" s="56"/>
      <c r="FS2137" s="56"/>
      <c r="FT2137" s="56"/>
      <c r="FU2137" s="56"/>
      <c r="FV2137" s="56"/>
      <c r="FW2137" s="56"/>
      <c r="FX2137" s="56"/>
      <c r="FY2137" s="56"/>
      <c r="FZ2137" s="56"/>
      <c r="GA2137" s="56"/>
      <c r="GB2137" s="56"/>
      <c r="GC2137" s="56"/>
      <c r="GD2137" s="56"/>
      <c r="GE2137" s="56"/>
      <c r="GF2137" s="56"/>
    </row>
    <row r="2138" spans="1:57" s="43" customFormat="1" ht="17.25" customHeight="1">
      <c r="A2138" s="13"/>
      <c r="B2138" s="93" t="s">
        <v>669</v>
      </c>
      <c r="C2138" s="15"/>
      <c r="D2138" s="40"/>
      <c r="E2138" s="40"/>
      <c r="F2138" s="40"/>
      <c r="G2138" s="40"/>
      <c r="H2138" s="40"/>
      <c r="I2138" s="40"/>
      <c r="J2138" s="40"/>
      <c r="K2138" s="40"/>
      <c r="L2138" s="60">
        <f>SUM(L2139:L2141)</f>
        <v>5</v>
      </c>
      <c r="M2138" s="60">
        <f>SUM(M2139:M2141)</f>
        <v>5</v>
      </c>
      <c r="N2138" s="60">
        <f>SUM(N2139:N2141)</f>
        <v>5</v>
      </c>
      <c r="O2138" s="60">
        <f>SUM(O2139:O2141)</f>
        <v>5</v>
      </c>
      <c r="P2138" s="60">
        <f>SUM(P2139:P2141)</f>
        <v>5</v>
      </c>
      <c r="Q2138" s="70"/>
      <c r="R2138" s="41"/>
      <c r="S2138" s="41"/>
      <c r="T2138" s="46"/>
      <c r="U2138" s="46"/>
      <c r="V2138" s="46"/>
      <c r="W2138" s="46"/>
      <c r="X2138" s="46"/>
      <c r="Y2138" s="46"/>
      <c r="Z2138" s="46"/>
      <c r="AA2138" s="46"/>
      <c r="AB2138" s="46"/>
      <c r="AC2138" s="46"/>
      <c r="AD2138" s="46"/>
      <c r="AE2138" s="46"/>
      <c r="AF2138" s="46"/>
      <c r="AG2138" s="46"/>
      <c r="AH2138" s="46"/>
      <c r="AI2138" s="46"/>
      <c r="AJ2138" s="46"/>
      <c r="AK2138" s="46"/>
      <c r="AL2138" s="46"/>
      <c r="AM2138" s="46"/>
      <c r="AN2138" s="46"/>
      <c r="AO2138" s="46"/>
      <c r="AP2138" s="46"/>
      <c r="AQ2138" s="46"/>
      <c r="AR2138" s="46"/>
      <c r="AS2138" s="46"/>
      <c r="AT2138" s="46"/>
      <c r="AU2138" s="46"/>
      <c r="AV2138" s="46"/>
      <c r="BA2138" s="49"/>
      <c r="BB2138" s="42"/>
      <c r="BC2138" s="42"/>
      <c r="BD2138" s="42"/>
      <c r="BE2138" s="42"/>
    </row>
    <row r="2139" spans="1:57" s="43" customFormat="1" ht="17.25" customHeight="1">
      <c r="A2139" s="12"/>
      <c r="B2139" s="97" t="s">
        <v>531</v>
      </c>
      <c r="C2139" s="29" t="s">
        <v>532</v>
      </c>
      <c r="D2139" s="40"/>
      <c r="E2139" s="40"/>
      <c r="F2139" s="40"/>
      <c r="G2139" s="40"/>
      <c r="H2139" s="40"/>
      <c r="I2139" s="40"/>
      <c r="J2139" s="40"/>
      <c r="K2139" s="40"/>
      <c r="L2139" s="40">
        <v>3</v>
      </c>
      <c r="M2139" s="40">
        <v>3</v>
      </c>
      <c r="N2139" s="40">
        <v>3</v>
      </c>
      <c r="O2139" s="40">
        <v>3</v>
      </c>
      <c r="P2139" s="40">
        <v>3</v>
      </c>
      <c r="Q2139" s="70"/>
      <c r="R2139" s="41"/>
      <c r="S2139" s="41"/>
      <c r="T2139" s="46"/>
      <c r="U2139" s="46"/>
      <c r="V2139" s="46"/>
      <c r="W2139" s="46"/>
      <c r="X2139" s="46"/>
      <c r="Y2139" s="46"/>
      <c r="Z2139" s="46"/>
      <c r="AA2139" s="46"/>
      <c r="AB2139" s="46"/>
      <c r="AC2139" s="46"/>
      <c r="AD2139" s="46"/>
      <c r="AE2139" s="46"/>
      <c r="AF2139" s="46"/>
      <c r="AG2139" s="46"/>
      <c r="AH2139" s="46"/>
      <c r="AI2139" s="46"/>
      <c r="AJ2139" s="46"/>
      <c r="AK2139" s="46"/>
      <c r="AL2139" s="46"/>
      <c r="AM2139" s="46"/>
      <c r="AN2139" s="46"/>
      <c r="AO2139" s="46"/>
      <c r="AP2139" s="46"/>
      <c r="AQ2139" s="46"/>
      <c r="AR2139" s="46"/>
      <c r="AS2139" s="46"/>
      <c r="AT2139" s="46"/>
      <c r="AU2139" s="46"/>
      <c r="AV2139" s="46"/>
      <c r="BA2139" s="49"/>
      <c r="BB2139" s="42"/>
      <c r="BC2139" s="42"/>
      <c r="BD2139" s="42"/>
      <c r="BE2139" s="42"/>
    </row>
    <row r="2140" spans="1:48" s="43" customFormat="1" ht="17.25" customHeight="1">
      <c r="A2140" s="12"/>
      <c r="B2140" s="97" t="s">
        <v>411</v>
      </c>
      <c r="C2140" s="15" t="s">
        <v>412</v>
      </c>
      <c r="D2140" s="40"/>
      <c r="E2140" s="40"/>
      <c r="F2140" s="40"/>
      <c r="G2140" s="40"/>
      <c r="H2140" s="40"/>
      <c r="I2140" s="40"/>
      <c r="J2140" s="40"/>
      <c r="K2140" s="40"/>
      <c r="L2140" s="40">
        <v>1</v>
      </c>
      <c r="M2140" s="40">
        <v>1</v>
      </c>
      <c r="N2140" s="40">
        <v>1</v>
      </c>
      <c r="O2140" s="40">
        <v>1</v>
      </c>
      <c r="P2140" s="40">
        <v>1</v>
      </c>
      <c r="Q2140" s="70"/>
      <c r="R2140" s="70"/>
      <c r="S2140" s="70"/>
      <c r="T2140" s="46"/>
      <c r="U2140" s="46"/>
      <c r="V2140" s="46"/>
      <c r="W2140" s="46"/>
      <c r="X2140" s="46"/>
      <c r="Y2140" s="46"/>
      <c r="Z2140" s="46"/>
      <c r="AA2140" s="46"/>
      <c r="AB2140" s="46"/>
      <c r="AC2140" s="46"/>
      <c r="AD2140" s="46"/>
      <c r="AE2140" s="46"/>
      <c r="AF2140" s="46"/>
      <c r="AG2140" s="46"/>
      <c r="AH2140" s="46"/>
      <c r="AI2140" s="46"/>
      <c r="AJ2140" s="46"/>
      <c r="AK2140" s="46"/>
      <c r="AL2140" s="46"/>
      <c r="AM2140" s="46"/>
      <c r="AN2140" s="46"/>
      <c r="AO2140" s="46"/>
      <c r="AP2140" s="46"/>
      <c r="AQ2140" s="46"/>
      <c r="AR2140" s="46"/>
      <c r="AS2140" s="46"/>
      <c r="AT2140" s="46"/>
      <c r="AU2140" s="46"/>
      <c r="AV2140" s="46"/>
    </row>
    <row r="2141" spans="1:48" s="43" customFormat="1" ht="17.25" customHeight="1">
      <c r="A2141" s="12"/>
      <c r="B2141" s="97" t="s">
        <v>529</v>
      </c>
      <c r="C2141" s="29" t="s">
        <v>530</v>
      </c>
      <c r="D2141" s="40"/>
      <c r="E2141" s="40"/>
      <c r="F2141" s="40"/>
      <c r="G2141" s="40"/>
      <c r="H2141" s="40"/>
      <c r="I2141" s="40"/>
      <c r="J2141" s="40"/>
      <c r="K2141" s="40"/>
      <c r="L2141" s="40">
        <v>1</v>
      </c>
      <c r="M2141" s="40">
        <v>1</v>
      </c>
      <c r="N2141" s="40">
        <v>1</v>
      </c>
      <c r="O2141" s="40">
        <v>1</v>
      </c>
      <c r="P2141" s="40">
        <v>1</v>
      </c>
      <c r="Q2141" s="70"/>
      <c r="R2141" s="70"/>
      <c r="S2141" s="70"/>
      <c r="T2141" s="46"/>
      <c r="U2141" s="46"/>
      <c r="V2141" s="46"/>
      <c r="W2141" s="46"/>
      <c r="X2141" s="46"/>
      <c r="Y2141" s="46"/>
      <c r="Z2141" s="46"/>
      <c r="AA2141" s="46"/>
      <c r="AB2141" s="46"/>
      <c r="AC2141" s="46"/>
      <c r="AD2141" s="46"/>
      <c r="AE2141" s="46"/>
      <c r="AF2141" s="46"/>
      <c r="AG2141" s="46"/>
      <c r="AH2141" s="46"/>
      <c r="AI2141" s="46"/>
      <c r="AJ2141" s="46"/>
      <c r="AK2141" s="46"/>
      <c r="AL2141" s="46"/>
      <c r="AM2141" s="46"/>
      <c r="AN2141" s="46"/>
      <c r="AO2141" s="46"/>
      <c r="AP2141" s="46"/>
      <c r="AQ2141" s="46"/>
      <c r="AR2141" s="46"/>
      <c r="AS2141" s="46"/>
      <c r="AT2141" s="46"/>
      <c r="AU2141" s="46"/>
      <c r="AV2141" s="46"/>
    </row>
    <row r="2142" spans="1:48" s="18" customFormat="1" ht="17.25" customHeight="1">
      <c r="A2142" s="50"/>
      <c r="B2142" s="93" t="s">
        <v>670</v>
      </c>
      <c r="C2142" s="16"/>
      <c r="D2142" s="52"/>
      <c r="E2142" s="52"/>
      <c r="F2142" s="52"/>
      <c r="G2142" s="52"/>
      <c r="H2142" s="52"/>
      <c r="I2142" s="52"/>
      <c r="J2142" s="52"/>
      <c r="K2142" s="52"/>
      <c r="L2142" s="60">
        <f>SUM(L2143:L2143)</f>
        <v>1</v>
      </c>
      <c r="M2142" s="60">
        <f>SUM(M2143:M2143)</f>
        <v>1</v>
      </c>
      <c r="N2142" s="60">
        <f>SUM(N2143:N2143)</f>
        <v>1</v>
      </c>
      <c r="O2142" s="60">
        <f>SUM(O2143:O2143)</f>
        <v>1</v>
      </c>
      <c r="P2142" s="60">
        <f>SUM(P2143:P2143)</f>
        <v>1</v>
      </c>
      <c r="Q2142" s="23"/>
      <c r="R2142" s="23"/>
      <c r="S2142" s="17"/>
      <c r="T2142" s="47"/>
      <c r="U2142" s="47"/>
      <c r="V2142" s="47"/>
      <c r="W2142" s="47"/>
      <c r="X2142" s="47"/>
      <c r="Y2142" s="47"/>
      <c r="Z2142" s="47"/>
      <c r="AA2142" s="47"/>
      <c r="AB2142" s="47"/>
      <c r="AC2142" s="47"/>
      <c r="AD2142" s="47"/>
      <c r="AE2142" s="47"/>
      <c r="AF2142" s="47"/>
      <c r="AG2142" s="47"/>
      <c r="AH2142" s="47"/>
      <c r="AI2142" s="47"/>
      <c r="AJ2142" s="47"/>
      <c r="AK2142" s="47"/>
      <c r="AL2142" s="47"/>
      <c r="AM2142" s="47"/>
      <c r="AN2142" s="47"/>
      <c r="AO2142" s="47"/>
      <c r="AP2142" s="47"/>
      <c r="AQ2142" s="47"/>
      <c r="AR2142" s="47"/>
      <c r="AS2142" s="47"/>
      <c r="AT2142" s="47"/>
      <c r="AU2142" s="47"/>
      <c r="AV2142" s="47"/>
    </row>
    <row r="2143" spans="1:48" s="18" customFormat="1" ht="17.25" customHeight="1">
      <c r="A2143" s="50"/>
      <c r="B2143" s="97" t="s">
        <v>115</v>
      </c>
      <c r="C2143" s="29" t="s">
        <v>116</v>
      </c>
      <c r="D2143" s="52"/>
      <c r="E2143" s="52"/>
      <c r="F2143" s="52"/>
      <c r="G2143" s="52"/>
      <c r="H2143" s="52"/>
      <c r="I2143" s="52"/>
      <c r="J2143" s="52"/>
      <c r="K2143" s="52"/>
      <c r="L2143" s="40">
        <v>1</v>
      </c>
      <c r="M2143" s="40">
        <v>1</v>
      </c>
      <c r="N2143" s="40">
        <v>1</v>
      </c>
      <c r="O2143" s="40">
        <v>1</v>
      </c>
      <c r="P2143" s="40">
        <v>1</v>
      </c>
      <c r="Q2143" s="77"/>
      <c r="R2143" s="77"/>
      <c r="S2143" s="78"/>
      <c r="T2143" s="47"/>
      <c r="U2143" s="47"/>
      <c r="V2143" s="47"/>
      <c r="W2143" s="47"/>
      <c r="X2143" s="47"/>
      <c r="Y2143" s="47"/>
      <c r="Z2143" s="47"/>
      <c r="AA2143" s="47"/>
      <c r="AB2143" s="47"/>
      <c r="AC2143" s="47"/>
      <c r="AD2143" s="47"/>
      <c r="AE2143" s="47"/>
      <c r="AF2143" s="47"/>
      <c r="AG2143" s="47"/>
      <c r="AH2143" s="47"/>
      <c r="AI2143" s="47"/>
      <c r="AJ2143" s="47"/>
      <c r="AK2143" s="47"/>
      <c r="AL2143" s="47"/>
      <c r="AM2143" s="47"/>
      <c r="AN2143" s="47"/>
      <c r="AO2143" s="47"/>
      <c r="AP2143" s="47"/>
      <c r="AQ2143" s="47"/>
      <c r="AR2143" s="47"/>
      <c r="AS2143" s="47"/>
      <c r="AT2143" s="47"/>
      <c r="AU2143" s="47"/>
      <c r="AV2143" s="47"/>
    </row>
    <row r="2144" spans="1:188" s="62" customFormat="1" ht="17.25" customHeight="1">
      <c r="A2144" s="13">
        <v>5</v>
      </c>
      <c r="B2144" s="108" t="s">
        <v>320</v>
      </c>
      <c r="C2144" s="45"/>
      <c r="D2144" s="44">
        <v>65</v>
      </c>
      <c r="E2144" s="44"/>
      <c r="F2144" s="44">
        <v>65</v>
      </c>
      <c r="G2144" s="44">
        <v>65</v>
      </c>
      <c r="H2144" s="44">
        <v>65</v>
      </c>
      <c r="I2144" s="44">
        <v>65</v>
      </c>
      <c r="J2144" s="44">
        <v>65</v>
      </c>
      <c r="K2144" s="44">
        <v>65</v>
      </c>
      <c r="L2144" s="44">
        <v>3</v>
      </c>
      <c r="M2144" s="44">
        <v>3</v>
      </c>
      <c r="N2144" s="44">
        <v>4</v>
      </c>
      <c r="O2144" s="44">
        <v>5</v>
      </c>
      <c r="P2144" s="44">
        <v>4</v>
      </c>
      <c r="Q2144" s="54" t="s">
        <v>648</v>
      </c>
      <c r="R2144" s="54">
        <v>1</v>
      </c>
      <c r="S2144" s="55" t="s">
        <v>576</v>
      </c>
      <c r="T2144" s="56"/>
      <c r="U2144" s="56"/>
      <c r="V2144" s="56"/>
      <c r="W2144" s="56"/>
      <c r="X2144" s="56"/>
      <c r="Y2144" s="56"/>
      <c r="Z2144" s="56"/>
      <c r="AA2144" s="56"/>
      <c r="AB2144" s="56"/>
      <c r="AC2144" s="56"/>
      <c r="AD2144" s="56"/>
      <c r="AE2144" s="56"/>
      <c r="AF2144" s="56"/>
      <c r="AG2144" s="56"/>
      <c r="AH2144" s="56"/>
      <c r="AI2144" s="56"/>
      <c r="AJ2144" s="56"/>
      <c r="AK2144" s="56"/>
      <c r="AL2144" s="56"/>
      <c r="AM2144" s="56"/>
      <c r="AN2144" s="56"/>
      <c r="AO2144" s="56"/>
      <c r="AP2144" s="56"/>
      <c r="AQ2144" s="56"/>
      <c r="AR2144" s="56"/>
      <c r="AS2144" s="56"/>
      <c r="AT2144" s="56"/>
      <c r="AU2144" s="56"/>
      <c r="AV2144" s="56"/>
      <c r="AW2144" s="56"/>
      <c r="AX2144" s="56"/>
      <c r="AY2144" s="56"/>
      <c r="AZ2144" s="56"/>
      <c r="BA2144" s="56"/>
      <c r="BB2144" s="56"/>
      <c r="BC2144" s="56"/>
      <c r="BD2144" s="56"/>
      <c r="BE2144" s="56"/>
      <c r="BF2144" s="56"/>
      <c r="BG2144" s="56"/>
      <c r="BH2144" s="56"/>
      <c r="BI2144" s="56"/>
      <c r="BJ2144" s="56"/>
      <c r="BK2144" s="56"/>
      <c r="BL2144" s="56"/>
      <c r="BM2144" s="56"/>
      <c r="BN2144" s="56"/>
      <c r="BO2144" s="56"/>
      <c r="BP2144" s="56"/>
      <c r="BQ2144" s="56"/>
      <c r="BR2144" s="56"/>
      <c r="BS2144" s="56"/>
      <c r="BT2144" s="56"/>
      <c r="BU2144" s="56"/>
      <c r="BV2144" s="56"/>
      <c r="BW2144" s="56"/>
      <c r="BX2144" s="56"/>
      <c r="BY2144" s="56"/>
      <c r="BZ2144" s="56"/>
      <c r="CA2144" s="56"/>
      <c r="CB2144" s="56"/>
      <c r="CC2144" s="56"/>
      <c r="CD2144" s="56"/>
      <c r="CE2144" s="56"/>
      <c r="CF2144" s="56"/>
      <c r="CG2144" s="56"/>
      <c r="CH2144" s="56"/>
      <c r="CI2144" s="56"/>
      <c r="CJ2144" s="56"/>
      <c r="CK2144" s="56"/>
      <c r="CL2144" s="56"/>
      <c r="CM2144" s="56"/>
      <c r="CN2144" s="56"/>
      <c r="CO2144" s="56"/>
      <c r="CP2144" s="56"/>
      <c r="CQ2144" s="56"/>
      <c r="CR2144" s="56"/>
      <c r="CS2144" s="56"/>
      <c r="CT2144" s="56"/>
      <c r="CU2144" s="56"/>
      <c r="CV2144" s="56"/>
      <c r="CW2144" s="56"/>
      <c r="CX2144" s="56"/>
      <c r="CY2144" s="56"/>
      <c r="CZ2144" s="56"/>
      <c r="DA2144" s="56"/>
      <c r="DB2144" s="56"/>
      <c r="DC2144" s="56"/>
      <c r="DD2144" s="56"/>
      <c r="DE2144" s="56"/>
      <c r="DF2144" s="56"/>
      <c r="DG2144" s="56"/>
      <c r="DH2144" s="56"/>
      <c r="DI2144" s="56"/>
      <c r="DJ2144" s="56"/>
      <c r="DK2144" s="56"/>
      <c r="DL2144" s="56"/>
      <c r="DM2144" s="56"/>
      <c r="DN2144" s="56"/>
      <c r="DO2144" s="56"/>
      <c r="DP2144" s="56"/>
      <c r="DQ2144" s="56"/>
      <c r="DR2144" s="56"/>
      <c r="DS2144" s="56"/>
      <c r="DT2144" s="56"/>
      <c r="DU2144" s="56"/>
      <c r="DV2144" s="56"/>
      <c r="DW2144" s="56"/>
      <c r="DX2144" s="56"/>
      <c r="DY2144" s="56"/>
      <c r="DZ2144" s="56"/>
      <c r="EA2144" s="56"/>
      <c r="EB2144" s="56"/>
      <c r="EC2144" s="56"/>
      <c r="ED2144" s="56"/>
      <c r="EE2144" s="56"/>
      <c r="EF2144" s="56"/>
      <c r="EG2144" s="56"/>
      <c r="EH2144" s="56"/>
      <c r="EI2144" s="56"/>
      <c r="EJ2144" s="56"/>
      <c r="EK2144" s="56"/>
      <c r="EL2144" s="56"/>
      <c r="EM2144" s="56"/>
      <c r="EN2144" s="56"/>
      <c r="EO2144" s="56"/>
      <c r="EP2144" s="56"/>
      <c r="EQ2144" s="56"/>
      <c r="ER2144" s="56"/>
      <c r="ES2144" s="56"/>
      <c r="ET2144" s="56"/>
      <c r="EU2144" s="56"/>
      <c r="EV2144" s="56"/>
      <c r="EW2144" s="56"/>
      <c r="EX2144" s="56"/>
      <c r="EY2144" s="56"/>
      <c r="EZ2144" s="56"/>
      <c r="FA2144" s="56"/>
      <c r="FB2144" s="56"/>
      <c r="FC2144" s="56"/>
      <c r="FD2144" s="56"/>
      <c r="FE2144" s="56"/>
      <c r="FF2144" s="56"/>
      <c r="FG2144" s="56"/>
      <c r="FH2144" s="56"/>
      <c r="FI2144" s="56"/>
      <c r="FJ2144" s="56"/>
      <c r="FK2144" s="56"/>
      <c r="FL2144" s="56"/>
      <c r="FM2144" s="56"/>
      <c r="FN2144" s="56"/>
      <c r="FO2144" s="56"/>
      <c r="FP2144" s="56"/>
      <c r="FQ2144" s="56"/>
      <c r="FR2144" s="56"/>
      <c r="FS2144" s="56"/>
      <c r="FT2144" s="56"/>
      <c r="FU2144" s="56"/>
      <c r="FV2144" s="56"/>
      <c r="FW2144" s="56"/>
      <c r="FX2144" s="56"/>
      <c r="FY2144" s="56"/>
      <c r="FZ2144" s="56"/>
      <c r="GA2144" s="56"/>
      <c r="GB2144" s="56"/>
      <c r="GC2144" s="56"/>
      <c r="GD2144" s="56"/>
      <c r="GE2144" s="56"/>
      <c r="GF2144" s="56"/>
    </row>
    <row r="2145" spans="1:48" s="18" customFormat="1" ht="17.25" customHeight="1">
      <c r="A2145" s="50"/>
      <c r="B2145" s="93" t="s">
        <v>669</v>
      </c>
      <c r="C2145" s="16"/>
      <c r="D2145" s="52"/>
      <c r="E2145" s="52"/>
      <c r="F2145" s="52"/>
      <c r="G2145" s="52"/>
      <c r="H2145" s="52"/>
      <c r="I2145" s="52"/>
      <c r="J2145" s="52"/>
      <c r="K2145" s="52"/>
      <c r="L2145" s="60">
        <f>SUM(L2146:L2149)</f>
        <v>3</v>
      </c>
      <c r="M2145" s="60">
        <f>SUM(M2146:M2149)</f>
        <v>3</v>
      </c>
      <c r="N2145" s="60">
        <f>SUM(N2146:N2149)</f>
        <v>3</v>
      </c>
      <c r="O2145" s="60">
        <f>SUM(O2146:O2149)</f>
        <v>3</v>
      </c>
      <c r="P2145" s="60">
        <f>SUM(P2146:P2149)</f>
        <v>3</v>
      </c>
      <c r="Q2145" s="23"/>
      <c r="R2145" s="23"/>
      <c r="S2145" s="17"/>
      <c r="T2145" s="47"/>
      <c r="U2145" s="47"/>
      <c r="V2145" s="47"/>
      <c r="W2145" s="47"/>
      <c r="X2145" s="47"/>
      <c r="Y2145" s="47"/>
      <c r="Z2145" s="47"/>
      <c r="AA2145" s="47"/>
      <c r="AB2145" s="47"/>
      <c r="AC2145" s="47"/>
      <c r="AD2145" s="47"/>
      <c r="AE2145" s="47"/>
      <c r="AF2145" s="47"/>
      <c r="AG2145" s="47"/>
      <c r="AH2145" s="47"/>
      <c r="AI2145" s="47"/>
      <c r="AJ2145" s="47"/>
      <c r="AK2145" s="47"/>
      <c r="AL2145" s="47"/>
      <c r="AM2145" s="47"/>
      <c r="AN2145" s="47"/>
      <c r="AO2145" s="47"/>
      <c r="AP2145" s="47"/>
      <c r="AQ2145" s="47"/>
      <c r="AR2145" s="47"/>
      <c r="AS2145" s="47"/>
      <c r="AT2145" s="47"/>
      <c r="AU2145" s="47"/>
      <c r="AV2145" s="47"/>
    </row>
    <row r="2146" spans="1:48" s="27" customFormat="1" ht="17.25" customHeight="1">
      <c r="A2146" s="12"/>
      <c r="B2146" s="97" t="s">
        <v>411</v>
      </c>
      <c r="C2146" s="15" t="s">
        <v>412</v>
      </c>
      <c r="D2146" s="51"/>
      <c r="E2146" s="51"/>
      <c r="F2146" s="51">
        <v>32</v>
      </c>
      <c r="G2146" s="51">
        <v>16</v>
      </c>
      <c r="H2146" s="51">
        <v>16</v>
      </c>
      <c r="I2146" s="51">
        <v>16</v>
      </c>
      <c r="J2146" s="51">
        <v>16</v>
      </c>
      <c r="K2146" s="51">
        <v>16</v>
      </c>
      <c r="L2146" s="40" t="s">
        <v>556</v>
      </c>
      <c r="M2146" s="40">
        <v>1</v>
      </c>
      <c r="N2146" s="40">
        <v>2</v>
      </c>
      <c r="O2146" s="40">
        <v>2</v>
      </c>
      <c r="P2146" s="40">
        <v>2</v>
      </c>
      <c r="Q2146" s="30"/>
      <c r="R2146" s="30"/>
      <c r="S2146" s="30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</row>
    <row r="2147" spans="1:48" s="27" customFormat="1" ht="17.25" customHeight="1">
      <c r="A2147" s="12"/>
      <c r="B2147" s="97" t="s">
        <v>458</v>
      </c>
      <c r="C2147" s="29" t="s">
        <v>459</v>
      </c>
      <c r="D2147" s="51"/>
      <c r="E2147" s="51"/>
      <c r="F2147" s="51"/>
      <c r="G2147" s="51">
        <v>10</v>
      </c>
      <c r="H2147" s="51">
        <v>10</v>
      </c>
      <c r="I2147" s="51">
        <v>10</v>
      </c>
      <c r="J2147" s="51">
        <v>10</v>
      </c>
      <c r="K2147" s="51">
        <v>10</v>
      </c>
      <c r="L2147" s="40">
        <v>1</v>
      </c>
      <c r="M2147" s="40">
        <v>1</v>
      </c>
      <c r="N2147" s="40" t="s">
        <v>556</v>
      </c>
      <c r="O2147" s="40" t="s">
        <v>556</v>
      </c>
      <c r="P2147" s="40" t="s">
        <v>556</v>
      </c>
      <c r="Q2147" s="30"/>
      <c r="R2147" s="30"/>
      <c r="S2147" s="30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</row>
    <row r="2148" spans="1:48" s="27" customFormat="1" ht="17.25" customHeight="1">
      <c r="A2148" s="12"/>
      <c r="B2148" s="97" t="s">
        <v>558</v>
      </c>
      <c r="C2148" s="29" t="s">
        <v>452</v>
      </c>
      <c r="D2148" s="51"/>
      <c r="E2148" s="51"/>
      <c r="F2148" s="51"/>
      <c r="G2148" s="51">
        <v>1</v>
      </c>
      <c r="H2148" s="51">
        <v>1</v>
      </c>
      <c r="I2148" s="51">
        <v>1</v>
      </c>
      <c r="J2148" s="51">
        <v>1</v>
      </c>
      <c r="K2148" s="51">
        <v>1</v>
      </c>
      <c r="L2148" s="40">
        <v>1</v>
      </c>
      <c r="M2148" s="40" t="s">
        <v>556</v>
      </c>
      <c r="N2148" s="40" t="s">
        <v>556</v>
      </c>
      <c r="O2148" s="40" t="s">
        <v>556</v>
      </c>
      <c r="P2148" s="40" t="s">
        <v>556</v>
      </c>
      <c r="Q2148" s="30"/>
      <c r="R2148" s="30"/>
      <c r="S2148" s="30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</row>
    <row r="2149" spans="1:48" s="27" customFormat="1" ht="17.25" customHeight="1">
      <c r="A2149" s="12"/>
      <c r="B2149" s="97" t="s">
        <v>460</v>
      </c>
      <c r="C2149" s="29" t="s">
        <v>544</v>
      </c>
      <c r="D2149" s="51"/>
      <c r="E2149" s="51"/>
      <c r="F2149" s="51"/>
      <c r="G2149" s="51">
        <v>2</v>
      </c>
      <c r="H2149" s="51">
        <v>2</v>
      </c>
      <c r="I2149" s="51">
        <v>2</v>
      </c>
      <c r="J2149" s="51">
        <v>2</v>
      </c>
      <c r="K2149" s="51">
        <v>2</v>
      </c>
      <c r="L2149" s="40">
        <v>1</v>
      </c>
      <c r="M2149" s="40">
        <v>1</v>
      </c>
      <c r="N2149" s="40">
        <v>1</v>
      </c>
      <c r="O2149" s="40">
        <v>1</v>
      </c>
      <c r="P2149" s="40">
        <v>1</v>
      </c>
      <c r="Q2149" s="30"/>
      <c r="R2149" s="30"/>
      <c r="S2149" s="30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</row>
    <row r="2150" spans="1:57" s="43" customFormat="1" ht="17.25" customHeight="1">
      <c r="A2150" s="13"/>
      <c r="B2150" s="93" t="s">
        <v>670</v>
      </c>
      <c r="C2150" s="15"/>
      <c r="D2150" s="40"/>
      <c r="E2150" s="40"/>
      <c r="F2150" s="40"/>
      <c r="G2150" s="40"/>
      <c r="H2150" s="40"/>
      <c r="I2150" s="40"/>
      <c r="J2150" s="40"/>
      <c r="K2150" s="40"/>
      <c r="L2150" s="60" t="str">
        <f>L2152</f>
        <v> -</v>
      </c>
      <c r="M2150" s="60" t="s">
        <v>556</v>
      </c>
      <c r="N2150" s="60">
        <v>1</v>
      </c>
      <c r="O2150" s="60">
        <v>2</v>
      </c>
      <c r="P2150" s="60">
        <v>1</v>
      </c>
      <c r="Q2150" s="70"/>
      <c r="R2150" s="41"/>
      <c r="S2150" s="41"/>
      <c r="T2150" s="46"/>
      <c r="U2150" s="46"/>
      <c r="V2150" s="46"/>
      <c r="W2150" s="46"/>
      <c r="X2150" s="46"/>
      <c r="Y2150" s="46"/>
      <c r="Z2150" s="46"/>
      <c r="AA2150" s="46"/>
      <c r="AB2150" s="46"/>
      <c r="AC2150" s="46"/>
      <c r="AD2150" s="46"/>
      <c r="AE2150" s="46"/>
      <c r="AF2150" s="46"/>
      <c r="AG2150" s="46"/>
      <c r="AH2150" s="46"/>
      <c r="AI2150" s="46"/>
      <c r="AJ2150" s="46"/>
      <c r="AK2150" s="46"/>
      <c r="AL2150" s="46"/>
      <c r="AM2150" s="46"/>
      <c r="AN2150" s="46"/>
      <c r="AO2150" s="46"/>
      <c r="AP2150" s="46"/>
      <c r="AQ2150" s="46"/>
      <c r="AR2150" s="46"/>
      <c r="AS2150" s="46"/>
      <c r="AT2150" s="46"/>
      <c r="AU2150" s="46"/>
      <c r="AV2150" s="46"/>
      <c r="BA2150" s="49"/>
      <c r="BB2150" s="42"/>
      <c r="BC2150" s="42"/>
      <c r="BD2150" s="42"/>
      <c r="BE2150" s="42"/>
    </row>
    <row r="2151" spans="1:57" s="43" customFormat="1" ht="17.25" customHeight="1">
      <c r="A2151" s="13"/>
      <c r="B2151" s="97" t="s">
        <v>403</v>
      </c>
      <c r="C2151" s="29" t="s">
        <v>404</v>
      </c>
      <c r="D2151" s="40"/>
      <c r="E2151" s="51"/>
      <c r="F2151" s="40">
        <v>1</v>
      </c>
      <c r="G2151" s="40">
        <v>1</v>
      </c>
      <c r="H2151" s="40">
        <v>1</v>
      </c>
      <c r="I2151" s="40">
        <v>1</v>
      </c>
      <c r="J2151" s="40">
        <v>1</v>
      </c>
      <c r="K2151" s="40">
        <v>1</v>
      </c>
      <c r="L2151" s="40" t="s">
        <v>556</v>
      </c>
      <c r="M2151" s="40" t="s">
        <v>556</v>
      </c>
      <c r="N2151" s="40" t="s">
        <v>556</v>
      </c>
      <c r="O2151" s="40">
        <v>1</v>
      </c>
      <c r="P2151" s="40" t="s">
        <v>556</v>
      </c>
      <c r="Q2151" s="70"/>
      <c r="R2151" s="41"/>
      <c r="S2151" s="41"/>
      <c r="T2151" s="46"/>
      <c r="U2151" s="46"/>
      <c r="V2151" s="46"/>
      <c r="W2151" s="46"/>
      <c r="X2151" s="46"/>
      <c r="Y2151" s="46"/>
      <c r="Z2151" s="46"/>
      <c r="AA2151" s="46"/>
      <c r="AB2151" s="46"/>
      <c r="AC2151" s="46"/>
      <c r="AD2151" s="46"/>
      <c r="AE2151" s="46"/>
      <c r="AF2151" s="46"/>
      <c r="AG2151" s="46"/>
      <c r="AH2151" s="46"/>
      <c r="AI2151" s="46"/>
      <c r="AJ2151" s="46"/>
      <c r="AK2151" s="46"/>
      <c r="AL2151" s="46"/>
      <c r="AM2151" s="46"/>
      <c r="AN2151" s="46"/>
      <c r="AO2151" s="46"/>
      <c r="AP2151" s="46"/>
      <c r="AQ2151" s="46"/>
      <c r="AR2151" s="46"/>
      <c r="AS2151" s="46"/>
      <c r="AT2151" s="46"/>
      <c r="AU2151" s="46"/>
      <c r="AV2151" s="46"/>
      <c r="BA2151" s="49"/>
      <c r="BB2151" s="42"/>
      <c r="BC2151" s="42"/>
      <c r="BD2151" s="42"/>
      <c r="BE2151" s="42"/>
    </row>
    <row r="2152" spans="1:57" s="43" customFormat="1" ht="17.25" customHeight="1">
      <c r="A2152" s="13"/>
      <c r="B2152" s="97" t="s">
        <v>566</v>
      </c>
      <c r="C2152" s="15" t="s">
        <v>567</v>
      </c>
      <c r="D2152" s="40"/>
      <c r="E2152" s="51"/>
      <c r="F2152" s="40">
        <v>1</v>
      </c>
      <c r="G2152" s="40">
        <v>1</v>
      </c>
      <c r="H2152" s="40">
        <v>1</v>
      </c>
      <c r="I2152" s="40">
        <v>1</v>
      </c>
      <c r="J2152" s="40">
        <v>1</v>
      </c>
      <c r="K2152" s="40">
        <v>1</v>
      </c>
      <c r="L2152" s="40" t="s">
        <v>556</v>
      </c>
      <c r="M2152" s="40" t="s">
        <v>556</v>
      </c>
      <c r="N2152" s="40">
        <v>1</v>
      </c>
      <c r="O2152" s="40">
        <v>1</v>
      </c>
      <c r="P2152" s="40">
        <v>1</v>
      </c>
      <c r="Q2152" s="70"/>
      <c r="R2152" s="41"/>
      <c r="S2152" s="41"/>
      <c r="T2152" s="46"/>
      <c r="U2152" s="46"/>
      <c r="V2152" s="46"/>
      <c r="W2152" s="46"/>
      <c r="X2152" s="46"/>
      <c r="Y2152" s="46"/>
      <c r="Z2152" s="46"/>
      <c r="AA2152" s="46"/>
      <c r="AB2152" s="46"/>
      <c r="AC2152" s="46"/>
      <c r="AD2152" s="46"/>
      <c r="AE2152" s="46"/>
      <c r="AF2152" s="46"/>
      <c r="AG2152" s="46"/>
      <c r="AH2152" s="46"/>
      <c r="AI2152" s="46"/>
      <c r="AJ2152" s="46"/>
      <c r="AK2152" s="46"/>
      <c r="AL2152" s="46"/>
      <c r="AM2152" s="46"/>
      <c r="AN2152" s="46"/>
      <c r="AO2152" s="46"/>
      <c r="AP2152" s="46"/>
      <c r="AQ2152" s="46"/>
      <c r="AR2152" s="46"/>
      <c r="AS2152" s="46"/>
      <c r="AT2152" s="46"/>
      <c r="AU2152" s="46"/>
      <c r="AV2152" s="46"/>
      <c r="BA2152" s="49"/>
      <c r="BB2152" s="42"/>
      <c r="BC2152" s="42"/>
      <c r="BD2152" s="42"/>
      <c r="BE2152" s="42"/>
    </row>
    <row r="2153" spans="1:188" s="62" customFormat="1" ht="17.25" customHeight="1">
      <c r="A2153" s="13">
        <v>6</v>
      </c>
      <c r="B2153" s="108" t="s">
        <v>321</v>
      </c>
      <c r="C2153" s="45"/>
      <c r="D2153" s="44">
        <v>22</v>
      </c>
      <c r="E2153" s="44">
        <v>7</v>
      </c>
      <c r="F2153" s="44"/>
      <c r="G2153" s="44">
        <v>22</v>
      </c>
      <c r="H2153" s="44">
        <v>22</v>
      </c>
      <c r="I2153" s="44">
        <v>22</v>
      </c>
      <c r="J2153" s="44">
        <v>22</v>
      </c>
      <c r="K2153" s="44">
        <v>22</v>
      </c>
      <c r="L2153" s="44">
        <v>3</v>
      </c>
      <c r="M2153" s="44" t="s">
        <v>556</v>
      </c>
      <c r="N2153" s="44" t="s">
        <v>556</v>
      </c>
      <c r="O2153" s="44" t="s">
        <v>556</v>
      </c>
      <c r="P2153" s="44" t="s">
        <v>556</v>
      </c>
      <c r="Q2153" s="54" t="s">
        <v>648</v>
      </c>
      <c r="R2153" s="54">
        <v>1</v>
      </c>
      <c r="S2153" s="55" t="s">
        <v>575</v>
      </c>
      <c r="T2153" s="56"/>
      <c r="U2153" s="56"/>
      <c r="V2153" s="56"/>
      <c r="W2153" s="56"/>
      <c r="X2153" s="56"/>
      <c r="Y2153" s="56"/>
      <c r="Z2153" s="56"/>
      <c r="AA2153" s="56"/>
      <c r="AB2153" s="56"/>
      <c r="AC2153" s="56"/>
      <c r="AD2153" s="56"/>
      <c r="AE2153" s="56"/>
      <c r="AF2153" s="56"/>
      <c r="AG2153" s="56"/>
      <c r="AH2153" s="56"/>
      <c r="AI2153" s="56"/>
      <c r="AJ2153" s="56"/>
      <c r="AK2153" s="56"/>
      <c r="AL2153" s="56"/>
      <c r="AM2153" s="56"/>
      <c r="AN2153" s="56"/>
      <c r="AO2153" s="56"/>
      <c r="AP2153" s="56"/>
      <c r="AQ2153" s="56"/>
      <c r="AR2153" s="56"/>
      <c r="AS2153" s="56"/>
      <c r="AT2153" s="56"/>
      <c r="AU2153" s="56"/>
      <c r="AV2153" s="56"/>
      <c r="AW2153" s="56"/>
      <c r="AX2153" s="56"/>
      <c r="AY2153" s="56"/>
      <c r="AZ2153" s="56"/>
      <c r="BA2153" s="56"/>
      <c r="BB2153" s="56"/>
      <c r="BC2153" s="56"/>
      <c r="BD2153" s="56"/>
      <c r="BE2153" s="56"/>
      <c r="BF2153" s="56"/>
      <c r="BG2153" s="56"/>
      <c r="BH2153" s="56"/>
      <c r="BI2153" s="56"/>
      <c r="BJ2153" s="56"/>
      <c r="BK2153" s="56"/>
      <c r="BL2153" s="56"/>
      <c r="BM2153" s="56"/>
      <c r="BN2153" s="56"/>
      <c r="BO2153" s="56"/>
      <c r="BP2153" s="56"/>
      <c r="BQ2153" s="56"/>
      <c r="BR2153" s="56"/>
      <c r="BS2153" s="56"/>
      <c r="BT2153" s="56"/>
      <c r="BU2153" s="56"/>
      <c r="BV2153" s="56"/>
      <c r="BW2153" s="56"/>
      <c r="BX2153" s="56"/>
      <c r="BY2153" s="56"/>
      <c r="BZ2153" s="56"/>
      <c r="CA2153" s="56"/>
      <c r="CB2153" s="56"/>
      <c r="CC2153" s="56"/>
      <c r="CD2153" s="56"/>
      <c r="CE2153" s="56"/>
      <c r="CF2153" s="56"/>
      <c r="CG2153" s="56"/>
      <c r="CH2153" s="56"/>
      <c r="CI2153" s="56"/>
      <c r="CJ2153" s="56"/>
      <c r="CK2153" s="56"/>
      <c r="CL2153" s="56"/>
      <c r="CM2153" s="56"/>
      <c r="CN2153" s="56"/>
      <c r="CO2153" s="56"/>
      <c r="CP2153" s="56"/>
      <c r="CQ2153" s="56"/>
      <c r="CR2153" s="56"/>
      <c r="CS2153" s="56"/>
      <c r="CT2153" s="56"/>
      <c r="CU2153" s="56"/>
      <c r="CV2153" s="56"/>
      <c r="CW2153" s="56"/>
      <c r="CX2153" s="56"/>
      <c r="CY2153" s="56"/>
      <c r="CZ2153" s="56"/>
      <c r="DA2153" s="56"/>
      <c r="DB2153" s="56"/>
      <c r="DC2153" s="56"/>
      <c r="DD2153" s="56"/>
      <c r="DE2153" s="56"/>
      <c r="DF2153" s="56"/>
      <c r="DG2153" s="56"/>
      <c r="DH2153" s="56"/>
      <c r="DI2153" s="56"/>
      <c r="DJ2153" s="56"/>
      <c r="DK2153" s="56"/>
      <c r="DL2153" s="56"/>
      <c r="DM2153" s="56"/>
      <c r="DN2153" s="56"/>
      <c r="DO2153" s="56"/>
      <c r="DP2153" s="56"/>
      <c r="DQ2153" s="56"/>
      <c r="DR2153" s="56"/>
      <c r="DS2153" s="56"/>
      <c r="DT2153" s="56"/>
      <c r="DU2153" s="56"/>
      <c r="DV2153" s="56"/>
      <c r="DW2153" s="56"/>
      <c r="DX2153" s="56"/>
      <c r="DY2153" s="56"/>
      <c r="DZ2153" s="56"/>
      <c r="EA2153" s="56"/>
      <c r="EB2153" s="56"/>
      <c r="EC2153" s="56"/>
      <c r="ED2153" s="56"/>
      <c r="EE2153" s="56"/>
      <c r="EF2153" s="56"/>
      <c r="EG2153" s="56"/>
      <c r="EH2153" s="56"/>
      <c r="EI2153" s="56"/>
      <c r="EJ2153" s="56"/>
      <c r="EK2153" s="56"/>
      <c r="EL2153" s="56"/>
      <c r="EM2153" s="56"/>
      <c r="EN2153" s="56"/>
      <c r="EO2153" s="56"/>
      <c r="EP2153" s="56"/>
      <c r="EQ2153" s="56"/>
      <c r="ER2153" s="56"/>
      <c r="ES2153" s="56"/>
      <c r="ET2153" s="56"/>
      <c r="EU2153" s="56"/>
      <c r="EV2153" s="56"/>
      <c r="EW2153" s="56"/>
      <c r="EX2153" s="56"/>
      <c r="EY2153" s="56"/>
      <c r="EZ2153" s="56"/>
      <c r="FA2153" s="56"/>
      <c r="FB2153" s="56"/>
      <c r="FC2153" s="56"/>
      <c r="FD2153" s="56"/>
      <c r="FE2153" s="56"/>
      <c r="FF2153" s="56"/>
      <c r="FG2153" s="56"/>
      <c r="FH2153" s="56"/>
      <c r="FI2153" s="56"/>
      <c r="FJ2153" s="56"/>
      <c r="FK2153" s="56"/>
      <c r="FL2153" s="56"/>
      <c r="FM2153" s="56"/>
      <c r="FN2153" s="56"/>
      <c r="FO2153" s="56"/>
      <c r="FP2153" s="56"/>
      <c r="FQ2153" s="56"/>
      <c r="FR2153" s="56"/>
      <c r="FS2153" s="56"/>
      <c r="FT2153" s="56"/>
      <c r="FU2153" s="56"/>
      <c r="FV2153" s="56"/>
      <c r="FW2153" s="56"/>
      <c r="FX2153" s="56"/>
      <c r="FY2153" s="56"/>
      <c r="FZ2153" s="56"/>
      <c r="GA2153" s="56"/>
      <c r="GB2153" s="56"/>
      <c r="GC2153" s="56"/>
      <c r="GD2153" s="56"/>
      <c r="GE2153" s="56"/>
      <c r="GF2153" s="56"/>
    </row>
    <row r="2154" spans="1:48" s="18" customFormat="1" ht="17.25" customHeight="1">
      <c r="A2154" s="50"/>
      <c r="B2154" s="93" t="s">
        <v>669</v>
      </c>
      <c r="C2154" s="16"/>
      <c r="D2154" s="52"/>
      <c r="E2154" s="52"/>
      <c r="F2154" s="52"/>
      <c r="G2154" s="52"/>
      <c r="H2154" s="52"/>
      <c r="I2154" s="52"/>
      <c r="J2154" s="52"/>
      <c r="K2154" s="52"/>
      <c r="L2154" s="60">
        <v>3</v>
      </c>
      <c r="M2154" s="60" t="str">
        <f>M2155</f>
        <v> -</v>
      </c>
      <c r="N2154" s="60" t="str">
        <f>N2155</f>
        <v> -</v>
      </c>
      <c r="O2154" s="60" t="str">
        <f>O2155</f>
        <v> -</v>
      </c>
      <c r="P2154" s="60" t="str">
        <f>P2155</f>
        <v> -</v>
      </c>
      <c r="Q2154" s="23"/>
      <c r="R2154" s="23"/>
      <c r="S2154" s="17"/>
      <c r="T2154" s="47"/>
      <c r="U2154" s="47"/>
      <c r="V2154" s="47"/>
      <c r="W2154" s="47"/>
      <c r="X2154" s="47"/>
      <c r="Y2154" s="47"/>
      <c r="Z2154" s="47"/>
      <c r="AA2154" s="47"/>
      <c r="AB2154" s="47"/>
      <c r="AC2154" s="47"/>
      <c r="AD2154" s="47"/>
      <c r="AE2154" s="47"/>
      <c r="AF2154" s="47"/>
      <c r="AG2154" s="47"/>
      <c r="AH2154" s="47"/>
      <c r="AI2154" s="47"/>
      <c r="AJ2154" s="47"/>
      <c r="AK2154" s="47"/>
      <c r="AL2154" s="47"/>
      <c r="AM2154" s="47"/>
      <c r="AN2154" s="47"/>
      <c r="AO2154" s="47"/>
      <c r="AP2154" s="47"/>
      <c r="AQ2154" s="47"/>
      <c r="AR2154" s="47"/>
      <c r="AS2154" s="47"/>
      <c r="AT2154" s="47"/>
      <c r="AU2154" s="47"/>
      <c r="AV2154" s="47"/>
    </row>
    <row r="2155" spans="1:48" s="27" customFormat="1" ht="17.25" customHeight="1">
      <c r="A2155" s="12"/>
      <c r="B2155" s="97" t="s">
        <v>411</v>
      </c>
      <c r="C2155" s="15" t="s">
        <v>412</v>
      </c>
      <c r="D2155" s="51"/>
      <c r="E2155" s="51"/>
      <c r="F2155" s="51"/>
      <c r="G2155" s="51">
        <v>5</v>
      </c>
      <c r="H2155" s="51">
        <v>5</v>
      </c>
      <c r="I2155" s="51">
        <v>5</v>
      </c>
      <c r="J2155" s="51">
        <v>5</v>
      </c>
      <c r="K2155" s="51">
        <v>5</v>
      </c>
      <c r="L2155" s="40">
        <v>2</v>
      </c>
      <c r="M2155" s="40" t="s">
        <v>556</v>
      </c>
      <c r="N2155" s="40" t="s">
        <v>556</v>
      </c>
      <c r="O2155" s="40" t="s">
        <v>556</v>
      </c>
      <c r="P2155" s="40" t="s">
        <v>556</v>
      </c>
      <c r="Q2155" s="30"/>
      <c r="R2155" s="30"/>
      <c r="S2155" s="30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</row>
    <row r="2156" spans="1:48" s="27" customFormat="1" ht="17.25" customHeight="1">
      <c r="A2156" s="12"/>
      <c r="B2156" s="97" t="s">
        <v>558</v>
      </c>
      <c r="C2156" s="29" t="s">
        <v>452</v>
      </c>
      <c r="D2156" s="51"/>
      <c r="E2156" s="51"/>
      <c r="F2156" s="51"/>
      <c r="G2156" s="51">
        <v>1</v>
      </c>
      <c r="H2156" s="51">
        <v>1</v>
      </c>
      <c r="I2156" s="51">
        <v>1</v>
      </c>
      <c r="J2156" s="51">
        <v>1</v>
      </c>
      <c r="K2156" s="51">
        <v>1</v>
      </c>
      <c r="L2156" s="40">
        <v>1</v>
      </c>
      <c r="M2156" s="40" t="s">
        <v>556</v>
      </c>
      <c r="N2156" s="40" t="s">
        <v>556</v>
      </c>
      <c r="O2156" s="40" t="s">
        <v>556</v>
      </c>
      <c r="P2156" s="40" t="s">
        <v>556</v>
      </c>
      <c r="Q2156" s="30"/>
      <c r="R2156" s="30"/>
      <c r="S2156" s="30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</row>
    <row r="2157" spans="1:188" s="62" customFormat="1" ht="17.25" customHeight="1">
      <c r="A2157" s="13">
        <v>7</v>
      </c>
      <c r="B2157" s="108" t="s">
        <v>59</v>
      </c>
      <c r="C2157" s="45"/>
      <c r="D2157" s="44">
        <v>21</v>
      </c>
      <c r="E2157" s="44">
        <v>4</v>
      </c>
      <c r="F2157" s="44"/>
      <c r="G2157" s="44">
        <v>23</v>
      </c>
      <c r="H2157" s="44">
        <v>23</v>
      </c>
      <c r="I2157" s="44">
        <v>23</v>
      </c>
      <c r="J2157" s="44">
        <v>25</v>
      </c>
      <c r="K2157" s="44">
        <v>25</v>
      </c>
      <c r="L2157" s="44" t="s">
        <v>556</v>
      </c>
      <c r="M2157" s="44" t="s">
        <v>556</v>
      </c>
      <c r="N2157" s="44" t="s">
        <v>556</v>
      </c>
      <c r="O2157" s="44" t="s">
        <v>556</v>
      </c>
      <c r="P2157" s="44" t="s">
        <v>556</v>
      </c>
      <c r="Q2157" s="261" t="e">
        <f>#REF!</f>
        <v>#REF!</v>
      </c>
      <c r="R2157" s="61" t="e">
        <f>#REF!</f>
        <v>#REF!</v>
      </c>
      <c r="S2157" s="61" t="e">
        <f>#REF!</f>
        <v>#REF!</v>
      </c>
      <c r="T2157" s="56"/>
      <c r="U2157" s="56"/>
      <c r="V2157" s="56"/>
      <c r="W2157" s="56"/>
      <c r="X2157" s="56"/>
      <c r="Y2157" s="56"/>
      <c r="Z2157" s="56"/>
      <c r="AA2157" s="56"/>
      <c r="AB2157" s="56"/>
      <c r="AC2157" s="56"/>
      <c r="AD2157" s="56"/>
      <c r="AE2157" s="56"/>
      <c r="AF2157" s="56"/>
      <c r="AG2157" s="56"/>
      <c r="AH2157" s="56"/>
      <c r="AI2157" s="56"/>
      <c r="AJ2157" s="56"/>
      <c r="AK2157" s="56"/>
      <c r="AL2157" s="56"/>
      <c r="AM2157" s="56"/>
      <c r="AN2157" s="56"/>
      <c r="AO2157" s="56"/>
      <c r="AP2157" s="56"/>
      <c r="AQ2157" s="56"/>
      <c r="AR2157" s="56"/>
      <c r="AS2157" s="56"/>
      <c r="AT2157" s="56"/>
      <c r="AU2157" s="56"/>
      <c r="AV2157" s="56"/>
      <c r="AW2157" s="56"/>
      <c r="AX2157" s="56"/>
      <c r="AY2157" s="56"/>
      <c r="AZ2157" s="56"/>
      <c r="BA2157" s="56"/>
      <c r="BB2157" s="56"/>
      <c r="BC2157" s="56"/>
      <c r="BD2157" s="56"/>
      <c r="BE2157" s="56"/>
      <c r="BF2157" s="56"/>
      <c r="BG2157" s="56"/>
      <c r="BH2157" s="56"/>
      <c r="BI2157" s="56"/>
      <c r="BJ2157" s="56"/>
      <c r="BK2157" s="56"/>
      <c r="BL2157" s="56"/>
      <c r="BM2157" s="56"/>
      <c r="BN2157" s="56"/>
      <c r="BO2157" s="56"/>
      <c r="BP2157" s="56"/>
      <c r="BQ2157" s="56"/>
      <c r="BR2157" s="56"/>
      <c r="BS2157" s="56"/>
      <c r="BT2157" s="56"/>
      <c r="BU2157" s="56"/>
      <c r="BV2157" s="56"/>
      <c r="BW2157" s="56"/>
      <c r="BX2157" s="56"/>
      <c r="BY2157" s="56"/>
      <c r="BZ2157" s="56"/>
      <c r="CA2157" s="56"/>
      <c r="CB2157" s="56"/>
      <c r="CC2157" s="56"/>
      <c r="CD2157" s="56"/>
      <c r="CE2157" s="56"/>
      <c r="CF2157" s="56"/>
      <c r="CG2157" s="56"/>
      <c r="CH2157" s="56"/>
      <c r="CI2157" s="56"/>
      <c r="CJ2157" s="56"/>
      <c r="CK2157" s="56"/>
      <c r="CL2157" s="56"/>
      <c r="CM2157" s="56"/>
      <c r="CN2157" s="56"/>
      <c r="CO2157" s="56"/>
      <c r="CP2157" s="56"/>
      <c r="CQ2157" s="56"/>
      <c r="CR2157" s="56"/>
      <c r="CS2157" s="56"/>
      <c r="CT2157" s="56"/>
      <c r="CU2157" s="56"/>
      <c r="CV2157" s="56"/>
      <c r="CW2157" s="56"/>
      <c r="CX2157" s="56"/>
      <c r="CY2157" s="56"/>
      <c r="CZ2157" s="56"/>
      <c r="DA2157" s="56"/>
      <c r="DB2157" s="56"/>
      <c r="DC2157" s="56"/>
      <c r="DD2157" s="56"/>
      <c r="DE2157" s="56"/>
      <c r="DF2157" s="56"/>
      <c r="DG2157" s="56"/>
      <c r="DH2157" s="56"/>
      <c r="DI2157" s="56"/>
      <c r="DJ2157" s="56"/>
      <c r="DK2157" s="56"/>
      <c r="DL2157" s="56"/>
      <c r="DM2157" s="56"/>
      <c r="DN2157" s="56"/>
      <c r="DO2157" s="56"/>
      <c r="DP2157" s="56"/>
      <c r="DQ2157" s="56"/>
      <c r="DR2157" s="56"/>
      <c r="DS2157" s="56"/>
      <c r="DT2157" s="56"/>
      <c r="DU2157" s="56"/>
      <c r="DV2157" s="56"/>
      <c r="DW2157" s="56"/>
      <c r="DX2157" s="56"/>
      <c r="DY2157" s="56"/>
      <c r="DZ2157" s="56"/>
      <c r="EA2157" s="56"/>
      <c r="EB2157" s="56"/>
      <c r="EC2157" s="56"/>
      <c r="ED2157" s="56"/>
      <c r="EE2157" s="56"/>
      <c r="EF2157" s="56"/>
      <c r="EG2157" s="56"/>
      <c r="EH2157" s="56"/>
      <c r="EI2157" s="56"/>
      <c r="EJ2157" s="56"/>
      <c r="EK2157" s="56"/>
      <c r="EL2157" s="56"/>
      <c r="EM2157" s="56"/>
      <c r="EN2157" s="56"/>
      <c r="EO2157" s="56"/>
      <c r="EP2157" s="56"/>
      <c r="EQ2157" s="56"/>
      <c r="ER2157" s="56"/>
      <c r="ES2157" s="56"/>
      <c r="ET2157" s="56"/>
      <c r="EU2157" s="56"/>
      <c r="EV2157" s="56"/>
      <c r="EW2157" s="56"/>
      <c r="EX2157" s="56"/>
      <c r="EY2157" s="56"/>
      <c r="EZ2157" s="56"/>
      <c r="FA2157" s="56"/>
      <c r="FB2157" s="56"/>
      <c r="FC2157" s="56"/>
      <c r="FD2157" s="56"/>
      <c r="FE2157" s="56"/>
      <c r="FF2157" s="56"/>
      <c r="FG2157" s="56"/>
      <c r="FH2157" s="56"/>
      <c r="FI2157" s="56"/>
      <c r="FJ2157" s="56"/>
      <c r="FK2157" s="56"/>
      <c r="FL2157" s="56"/>
      <c r="FM2157" s="56"/>
      <c r="FN2157" s="56"/>
      <c r="FO2157" s="56"/>
      <c r="FP2157" s="56"/>
      <c r="FQ2157" s="56"/>
      <c r="FR2157" s="56"/>
      <c r="FS2157" s="56"/>
      <c r="FT2157" s="56"/>
      <c r="FU2157" s="56"/>
      <c r="FV2157" s="56"/>
      <c r="FW2157" s="56"/>
      <c r="FX2157" s="56"/>
      <c r="FY2157" s="56"/>
      <c r="FZ2157" s="56"/>
      <c r="GA2157" s="56"/>
      <c r="GB2157" s="56"/>
      <c r="GC2157" s="56"/>
      <c r="GD2157" s="56"/>
      <c r="GE2157" s="56"/>
      <c r="GF2157" s="56"/>
    </row>
    <row r="2158" spans="1:57" s="43" customFormat="1" ht="17.25" customHeight="1">
      <c r="A2158" s="13"/>
      <c r="B2158" s="93" t="s">
        <v>669</v>
      </c>
      <c r="C2158" s="15"/>
      <c r="D2158" s="40"/>
      <c r="E2158" s="40"/>
      <c r="F2158" s="40"/>
      <c r="G2158" s="40"/>
      <c r="H2158" s="40"/>
      <c r="I2158" s="40"/>
      <c r="J2158" s="40"/>
      <c r="K2158" s="40"/>
      <c r="L2158" s="60" t="s">
        <v>556</v>
      </c>
      <c r="M2158" s="60" t="s">
        <v>556</v>
      </c>
      <c r="N2158" s="60" t="s">
        <v>556</v>
      </c>
      <c r="O2158" s="60" t="s">
        <v>556</v>
      </c>
      <c r="P2158" s="60" t="s">
        <v>556</v>
      </c>
      <c r="Q2158" s="70"/>
      <c r="R2158" s="41"/>
      <c r="S2158" s="41"/>
      <c r="T2158" s="46"/>
      <c r="U2158" s="46"/>
      <c r="V2158" s="46"/>
      <c r="W2158" s="46"/>
      <c r="X2158" s="46"/>
      <c r="Y2158" s="46"/>
      <c r="Z2158" s="46"/>
      <c r="AA2158" s="46"/>
      <c r="AB2158" s="46"/>
      <c r="AC2158" s="46"/>
      <c r="AD2158" s="46"/>
      <c r="AE2158" s="46"/>
      <c r="AF2158" s="46"/>
      <c r="AG2158" s="46"/>
      <c r="AH2158" s="46"/>
      <c r="AI2158" s="46"/>
      <c r="AJ2158" s="46"/>
      <c r="AK2158" s="46"/>
      <c r="AL2158" s="46"/>
      <c r="AM2158" s="46"/>
      <c r="AN2158" s="46"/>
      <c r="AO2158" s="46"/>
      <c r="AP2158" s="46"/>
      <c r="AQ2158" s="46"/>
      <c r="AR2158" s="46"/>
      <c r="AS2158" s="46"/>
      <c r="AT2158" s="46"/>
      <c r="AU2158" s="46"/>
      <c r="AV2158" s="46"/>
      <c r="BA2158" s="49"/>
      <c r="BB2158" s="42"/>
      <c r="BC2158" s="42"/>
      <c r="BD2158" s="42"/>
      <c r="BE2158" s="42"/>
    </row>
    <row r="2159" spans="1:57" s="43" customFormat="1" ht="17.25" customHeight="1">
      <c r="A2159" s="12"/>
      <c r="B2159" s="97" t="s">
        <v>411</v>
      </c>
      <c r="C2159" s="15" t="s">
        <v>412</v>
      </c>
      <c r="D2159" s="40"/>
      <c r="E2159" s="40"/>
      <c r="F2159" s="40"/>
      <c r="G2159" s="40">
        <v>18</v>
      </c>
      <c r="H2159" s="40">
        <v>18</v>
      </c>
      <c r="I2159" s="40">
        <v>18</v>
      </c>
      <c r="J2159" s="40">
        <v>20</v>
      </c>
      <c r="K2159" s="40">
        <v>20</v>
      </c>
      <c r="L2159" s="40">
        <v>2</v>
      </c>
      <c r="M2159" s="40">
        <v>2</v>
      </c>
      <c r="N2159" s="40">
        <v>3</v>
      </c>
      <c r="O2159" s="40">
        <v>3</v>
      </c>
      <c r="P2159" s="40">
        <v>3</v>
      </c>
      <c r="Q2159" s="70"/>
      <c r="R2159" s="41"/>
      <c r="S2159" s="41"/>
      <c r="T2159" s="46"/>
      <c r="U2159" s="46"/>
      <c r="V2159" s="46"/>
      <c r="W2159" s="46"/>
      <c r="X2159" s="46"/>
      <c r="Y2159" s="46"/>
      <c r="Z2159" s="46"/>
      <c r="AA2159" s="46"/>
      <c r="AB2159" s="46"/>
      <c r="AC2159" s="46"/>
      <c r="AD2159" s="46"/>
      <c r="AE2159" s="46"/>
      <c r="AF2159" s="46"/>
      <c r="AG2159" s="46"/>
      <c r="AH2159" s="46"/>
      <c r="AI2159" s="46"/>
      <c r="AJ2159" s="46"/>
      <c r="AK2159" s="46"/>
      <c r="AL2159" s="46"/>
      <c r="AM2159" s="46"/>
      <c r="AN2159" s="46"/>
      <c r="AO2159" s="46"/>
      <c r="AP2159" s="46"/>
      <c r="AQ2159" s="46"/>
      <c r="AR2159" s="46"/>
      <c r="AS2159" s="46"/>
      <c r="AT2159" s="46"/>
      <c r="AU2159" s="46"/>
      <c r="AV2159" s="46"/>
      <c r="BA2159" s="49"/>
      <c r="BB2159" s="42"/>
      <c r="BC2159" s="42"/>
      <c r="BD2159" s="42"/>
      <c r="BE2159" s="42"/>
    </row>
    <row r="2160" spans="1:57" s="43" customFormat="1" ht="17.25" customHeight="1">
      <c r="A2160" s="13"/>
      <c r="B2160" s="93" t="s">
        <v>670</v>
      </c>
      <c r="C2160" s="15"/>
      <c r="D2160" s="40"/>
      <c r="E2160" s="40"/>
      <c r="F2160" s="40"/>
      <c r="G2160" s="40"/>
      <c r="H2160" s="40"/>
      <c r="I2160" s="40"/>
      <c r="J2160" s="40"/>
      <c r="K2160" s="40"/>
      <c r="L2160" s="60" t="s">
        <v>556</v>
      </c>
      <c r="M2160" s="60" t="s">
        <v>556</v>
      </c>
      <c r="N2160" s="60" t="s">
        <v>556</v>
      </c>
      <c r="O2160" s="60" t="s">
        <v>556</v>
      </c>
      <c r="P2160" s="60" t="s">
        <v>556</v>
      </c>
      <c r="Q2160" s="70"/>
      <c r="R2160" s="41"/>
      <c r="S2160" s="41"/>
      <c r="T2160" s="46"/>
      <c r="U2160" s="46"/>
      <c r="V2160" s="46"/>
      <c r="W2160" s="46"/>
      <c r="X2160" s="46"/>
      <c r="Y2160" s="46"/>
      <c r="Z2160" s="46"/>
      <c r="AA2160" s="46"/>
      <c r="AB2160" s="46"/>
      <c r="AC2160" s="46"/>
      <c r="AD2160" s="46"/>
      <c r="AE2160" s="46"/>
      <c r="AF2160" s="46"/>
      <c r="AG2160" s="46"/>
      <c r="AH2160" s="46"/>
      <c r="AI2160" s="46"/>
      <c r="AJ2160" s="46"/>
      <c r="AK2160" s="46"/>
      <c r="AL2160" s="46"/>
      <c r="AM2160" s="46"/>
      <c r="AN2160" s="46"/>
      <c r="AO2160" s="46"/>
      <c r="AP2160" s="46"/>
      <c r="AQ2160" s="46"/>
      <c r="AR2160" s="46"/>
      <c r="AS2160" s="46"/>
      <c r="AT2160" s="46"/>
      <c r="AU2160" s="46"/>
      <c r="AV2160" s="46"/>
      <c r="BA2160" s="49"/>
      <c r="BB2160" s="42"/>
      <c r="BC2160" s="42"/>
      <c r="BD2160" s="42"/>
      <c r="BE2160" s="42"/>
    </row>
    <row r="2161" spans="1:57" s="43" customFormat="1" ht="17.25" customHeight="1">
      <c r="A2161" s="13"/>
      <c r="B2161" s="97" t="s">
        <v>403</v>
      </c>
      <c r="C2161" s="29" t="s">
        <v>404</v>
      </c>
      <c r="D2161" s="40"/>
      <c r="E2161" s="51"/>
      <c r="F2161" s="40"/>
      <c r="G2161" s="40">
        <v>3</v>
      </c>
      <c r="H2161" s="40">
        <v>3</v>
      </c>
      <c r="I2161" s="40">
        <v>3</v>
      </c>
      <c r="J2161" s="40">
        <v>3</v>
      </c>
      <c r="K2161" s="40">
        <v>3</v>
      </c>
      <c r="L2161" s="40">
        <v>1</v>
      </c>
      <c r="M2161" s="40">
        <v>1</v>
      </c>
      <c r="N2161" s="40">
        <v>2</v>
      </c>
      <c r="O2161" s="40">
        <v>2</v>
      </c>
      <c r="P2161" s="40">
        <v>2</v>
      </c>
      <c r="Q2161" s="70"/>
      <c r="R2161" s="41"/>
      <c r="S2161" s="41"/>
      <c r="T2161" s="46"/>
      <c r="U2161" s="46"/>
      <c r="V2161" s="46"/>
      <c r="W2161" s="46"/>
      <c r="X2161" s="46"/>
      <c r="Y2161" s="46"/>
      <c r="Z2161" s="46"/>
      <c r="AA2161" s="46"/>
      <c r="AB2161" s="46"/>
      <c r="AC2161" s="46"/>
      <c r="AD2161" s="46"/>
      <c r="AE2161" s="46"/>
      <c r="AF2161" s="46"/>
      <c r="AG2161" s="46"/>
      <c r="AH2161" s="46"/>
      <c r="AI2161" s="46"/>
      <c r="AJ2161" s="46"/>
      <c r="AK2161" s="46"/>
      <c r="AL2161" s="46"/>
      <c r="AM2161" s="46"/>
      <c r="AN2161" s="46"/>
      <c r="AO2161" s="46"/>
      <c r="AP2161" s="46"/>
      <c r="AQ2161" s="46"/>
      <c r="AR2161" s="46"/>
      <c r="AS2161" s="46"/>
      <c r="AT2161" s="46"/>
      <c r="AU2161" s="46"/>
      <c r="AV2161" s="46"/>
      <c r="BA2161" s="49"/>
      <c r="BB2161" s="42"/>
      <c r="BC2161" s="42"/>
      <c r="BD2161" s="42"/>
      <c r="BE2161" s="42"/>
    </row>
    <row r="2162" spans="1:188" s="62" customFormat="1" ht="17.25" customHeight="1">
      <c r="A2162" s="13">
        <v>8</v>
      </c>
      <c r="B2162" s="108" t="s">
        <v>319</v>
      </c>
      <c r="C2162" s="45"/>
      <c r="D2162" s="44">
        <v>18</v>
      </c>
      <c r="E2162" s="44">
        <v>5</v>
      </c>
      <c r="F2162" s="44">
        <v>21</v>
      </c>
      <c r="G2162" s="44">
        <v>18</v>
      </c>
      <c r="H2162" s="44">
        <v>18</v>
      </c>
      <c r="I2162" s="44">
        <v>18</v>
      </c>
      <c r="J2162" s="44">
        <v>18</v>
      </c>
      <c r="K2162" s="44">
        <v>18</v>
      </c>
      <c r="L2162" s="44">
        <v>2</v>
      </c>
      <c r="M2162" s="44" t="s">
        <v>556</v>
      </c>
      <c r="N2162" s="44" t="s">
        <v>556</v>
      </c>
      <c r="O2162" s="44" t="s">
        <v>556</v>
      </c>
      <c r="P2162" s="44" t="s">
        <v>556</v>
      </c>
      <c r="Q2162" s="261" t="e">
        <f>#REF!</f>
        <v>#REF!</v>
      </c>
      <c r="R2162" s="61" t="e">
        <f>#REF!</f>
        <v>#REF!</v>
      </c>
      <c r="S2162" s="61" t="e">
        <f>#REF!</f>
        <v>#REF!</v>
      </c>
      <c r="T2162" s="56"/>
      <c r="U2162" s="56"/>
      <c r="V2162" s="56"/>
      <c r="W2162" s="56"/>
      <c r="X2162" s="56"/>
      <c r="Y2162" s="56"/>
      <c r="Z2162" s="56"/>
      <c r="AA2162" s="56"/>
      <c r="AB2162" s="56"/>
      <c r="AC2162" s="56"/>
      <c r="AD2162" s="56"/>
      <c r="AE2162" s="56"/>
      <c r="AF2162" s="56"/>
      <c r="AG2162" s="56"/>
      <c r="AH2162" s="56"/>
      <c r="AI2162" s="56"/>
      <c r="AJ2162" s="56"/>
      <c r="AK2162" s="56"/>
      <c r="AL2162" s="56"/>
      <c r="AM2162" s="56"/>
      <c r="AN2162" s="56"/>
      <c r="AO2162" s="56"/>
      <c r="AP2162" s="56"/>
      <c r="AQ2162" s="56"/>
      <c r="AR2162" s="56"/>
      <c r="AS2162" s="56"/>
      <c r="AT2162" s="56"/>
      <c r="AU2162" s="56"/>
      <c r="AV2162" s="56"/>
      <c r="AW2162" s="56"/>
      <c r="AX2162" s="56"/>
      <c r="AY2162" s="56"/>
      <c r="AZ2162" s="56"/>
      <c r="BA2162" s="56"/>
      <c r="BB2162" s="56"/>
      <c r="BC2162" s="56"/>
      <c r="BD2162" s="56"/>
      <c r="BE2162" s="56"/>
      <c r="BF2162" s="56"/>
      <c r="BG2162" s="56"/>
      <c r="BH2162" s="56"/>
      <c r="BI2162" s="56"/>
      <c r="BJ2162" s="56"/>
      <c r="BK2162" s="56"/>
      <c r="BL2162" s="56"/>
      <c r="BM2162" s="56"/>
      <c r="BN2162" s="56"/>
      <c r="BO2162" s="56"/>
      <c r="BP2162" s="56"/>
      <c r="BQ2162" s="56"/>
      <c r="BR2162" s="56"/>
      <c r="BS2162" s="56"/>
      <c r="BT2162" s="56"/>
      <c r="BU2162" s="56"/>
      <c r="BV2162" s="56"/>
      <c r="BW2162" s="56"/>
      <c r="BX2162" s="56"/>
      <c r="BY2162" s="56"/>
      <c r="BZ2162" s="56"/>
      <c r="CA2162" s="56"/>
      <c r="CB2162" s="56"/>
      <c r="CC2162" s="56"/>
      <c r="CD2162" s="56"/>
      <c r="CE2162" s="56"/>
      <c r="CF2162" s="56"/>
      <c r="CG2162" s="56"/>
      <c r="CH2162" s="56"/>
      <c r="CI2162" s="56"/>
      <c r="CJ2162" s="56"/>
      <c r="CK2162" s="56"/>
      <c r="CL2162" s="56"/>
      <c r="CM2162" s="56"/>
      <c r="CN2162" s="56"/>
      <c r="CO2162" s="56"/>
      <c r="CP2162" s="56"/>
      <c r="CQ2162" s="56"/>
      <c r="CR2162" s="56"/>
      <c r="CS2162" s="56"/>
      <c r="CT2162" s="56"/>
      <c r="CU2162" s="56"/>
      <c r="CV2162" s="56"/>
      <c r="CW2162" s="56"/>
      <c r="CX2162" s="56"/>
      <c r="CY2162" s="56"/>
      <c r="CZ2162" s="56"/>
      <c r="DA2162" s="56"/>
      <c r="DB2162" s="56"/>
      <c r="DC2162" s="56"/>
      <c r="DD2162" s="56"/>
      <c r="DE2162" s="56"/>
      <c r="DF2162" s="56"/>
      <c r="DG2162" s="56"/>
      <c r="DH2162" s="56"/>
      <c r="DI2162" s="56"/>
      <c r="DJ2162" s="56"/>
      <c r="DK2162" s="56"/>
      <c r="DL2162" s="56"/>
      <c r="DM2162" s="56"/>
      <c r="DN2162" s="56"/>
      <c r="DO2162" s="56"/>
      <c r="DP2162" s="56"/>
      <c r="DQ2162" s="56"/>
      <c r="DR2162" s="56"/>
      <c r="DS2162" s="56"/>
      <c r="DT2162" s="56"/>
      <c r="DU2162" s="56"/>
      <c r="DV2162" s="56"/>
      <c r="DW2162" s="56"/>
      <c r="DX2162" s="56"/>
      <c r="DY2162" s="56"/>
      <c r="DZ2162" s="56"/>
      <c r="EA2162" s="56"/>
      <c r="EB2162" s="56"/>
      <c r="EC2162" s="56"/>
      <c r="ED2162" s="56"/>
      <c r="EE2162" s="56"/>
      <c r="EF2162" s="56"/>
      <c r="EG2162" s="56"/>
      <c r="EH2162" s="56"/>
      <c r="EI2162" s="56"/>
      <c r="EJ2162" s="56"/>
      <c r="EK2162" s="56"/>
      <c r="EL2162" s="56"/>
      <c r="EM2162" s="56"/>
      <c r="EN2162" s="56"/>
      <c r="EO2162" s="56"/>
      <c r="EP2162" s="56"/>
      <c r="EQ2162" s="56"/>
      <c r="ER2162" s="56"/>
      <c r="ES2162" s="56"/>
      <c r="ET2162" s="56"/>
      <c r="EU2162" s="56"/>
      <c r="EV2162" s="56"/>
      <c r="EW2162" s="56"/>
      <c r="EX2162" s="56"/>
      <c r="EY2162" s="56"/>
      <c r="EZ2162" s="56"/>
      <c r="FA2162" s="56"/>
      <c r="FB2162" s="56"/>
      <c r="FC2162" s="56"/>
      <c r="FD2162" s="56"/>
      <c r="FE2162" s="56"/>
      <c r="FF2162" s="56"/>
      <c r="FG2162" s="56"/>
      <c r="FH2162" s="56"/>
      <c r="FI2162" s="56"/>
      <c r="FJ2162" s="56"/>
      <c r="FK2162" s="56"/>
      <c r="FL2162" s="56"/>
      <c r="FM2162" s="56"/>
      <c r="FN2162" s="56"/>
      <c r="FO2162" s="56"/>
      <c r="FP2162" s="56"/>
      <c r="FQ2162" s="56"/>
      <c r="FR2162" s="56"/>
      <c r="FS2162" s="56"/>
      <c r="FT2162" s="56"/>
      <c r="FU2162" s="56"/>
      <c r="FV2162" s="56"/>
      <c r="FW2162" s="56"/>
      <c r="FX2162" s="56"/>
      <c r="FY2162" s="56"/>
      <c r="FZ2162" s="56"/>
      <c r="GA2162" s="56"/>
      <c r="GB2162" s="56"/>
      <c r="GC2162" s="56"/>
      <c r="GD2162" s="56"/>
      <c r="GE2162" s="56"/>
      <c r="GF2162" s="56"/>
    </row>
    <row r="2163" spans="1:57" s="43" customFormat="1" ht="17.25" customHeight="1">
      <c r="A2163" s="13"/>
      <c r="B2163" s="93" t="s">
        <v>669</v>
      </c>
      <c r="C2163" s="15"/>
      <c r="D2163" s="40"/>
      <c r="E2163" s="40"/>
      <c r="F2163" s="40"/>
      <c r="G2163" s="40"/>
      <c r="H2163" s="40"/>
      <c r="I2163" s="40"/>
      <c r="J2163" s="40"/>
      <c r="K2163" s="40"/>
      <c r="L2163" s="60">
        <v>1</v>
      </c>
      <c r="M2163" s="60" t="s">
        <v>556</v>
      </c>
      <c r="N2163" s="60" t="s">
        <v>556</v>
      </c>
      <c r="O2163" s="60" t="s">
        <v>556</v>
      </c>
      <c r="P2163" s="60" t="s">
        <v>556</v>
      </c>
      <c r="Q2163" s="70"/>
      <c r="R2163" s="41"/>
      <c r="S2163" s="41"/>
      <c r="T2163" s="46"/>
      <c r="U2163" s="46"/>
      <c r="V2163" s="46"/>
      <c r="W2163" s="46"/>
      <c r="X2163" s="46"/>
      <c r="Y2163" s="46"/>
      <c r="Z2163" s="46"/>
      <c r="AA2163" s="46"/>
      <c r="AB2163" s="46"/>
      <c r="AC2163" s="46"/>
      <c r="AD2163" s="46"/>
      <c r="AE2163" s="46"/>
      <c r="AF2163" s="46"/>
      <c r="AG2163" s="46"/>
      <c r="AH2163" s="46"/>
      <c r="AI2163" s="46"/>
      <c r="AJ2163" s="46"/>
      <c r="AK2163" s="46"/>
      <c r="AL2163" s="46"/>
      <c r="AM2163" s="46"/>
      <c r="AN2163" s="46"/>
      <c r="AO2163" s="46"/>
      <c r="AP2163" s="46"/>
      <c r="AQ2163" s="46"/>
      <c r="AR2163" s="46"/>
      <c r="AS2163" s="46"/>
      <c r="AT2163" s="46"/>
      <c r="AU2163" s="46"/>
      <c r="AV2163" s="46"/>
      <c r="BA2163" s="49"/>
      <c r="BB2163" s="42"/>
      <c r="BC2163" s="42"/>
      <c r="BD2163" s="42"/>
      <c r="BE2163" s="42"/>
    </row>
    <row r="2164" spans="1:57" s="43" customFormat="1" ht="17.25" customHeight="1">
      <c r="A2164" s="12"/>
      <c r="B2164" s="97" t="s">
        <v>411</v>
      </c>
      <c r="C2164" s="15" t="s">
        <v>412</v>
      </c>
      <c r="D2164" s="40"/>
      <c r="E2164" s="40"/>
      <c r="F2164" s="40"/>
      <c r="G2164" s="40">
        <v>5</v>
      </c>
      <c r="H2164" s="40">
        <v>5</v>
      </c>
      <c r="I2164" s="40">
        <v>5</v>
      </c>
      <c r="J2164" s="40">
        <v>5</v>
      </c>
      <c r="K2164" s="40">
        <v>5</v>
      </c>
      <c r="L2164" s="40">
        <v>1</v>
      </c>
      <c r="M2164" s="40" t="s">
        <v>556</v>
      </c>
      <c r="N2164" s="40" t="s">
        <v>556</v>
      </c>
      <c r="O2164" s="40" t="s">
        <v>556</v>
      </c>
      <c r="P2164" s="40" t="s">
        <v>556</v>
      </c>
      <c r="Q2164" s="70"/>
      <c r="R2164" s="41"/>
      <c r="S2164" s="41"/>
      <c r="T2164" s="46"/>
      <c r="U2164" s="46"/>
      <c r="V2164" s="46"/>
      <c r="W2164" s="46"/>
      <c r="X2164" s="46"/>
      <c r="Y2164" s="46"/>
      <c r="Z2164" s="46"/>
      <c r="AA2164" s="46"/>
      <c r="AB2164" s="46"/>
      <c r="AC2164" s="46"/>
      <c r="AD2164" s="46"/>
      <c r="AE2164" s="46"/>
      <c r="AF2164" s="46"/>
      <c r="AG2164" s="46"/>
      <c r="AH2164" s="46"/>
      <c r="AI2164" s="46"/>
      <c r="AJ2164" s="46"/>
      <c r="AK2164" s="46"/>
      <c r="AL2164" s="46"/>
      <c r="AM2164" s="46"/>
      <c r="AN2164" s="46"/>
      <c r="AO2164" s="46"/>
      <c r="AP2164" s="46"/>
      <c r="AQ2164" s="46"/>
      <c r="AR2164" s="46"/>
      <c r="AS2164" s="46"/>
      <c r="AT2164" s="46"/>
      <c r="AU2164" s="46"/>
      <c r="AV2164" s="46"/>
      <c r="BA2164" s="49"/>
      <c r="BB2164" s="42"/>
      <c r="BC2164" s="42"/>
      <c r="BD2164" s="42"/>
      <c r="BE2164" s="42"/>
    </row>
    <row r="2165" spans="1:57" s="43" customFormat="1" ht="17.25" customHeight="1">
      <c r="A2165" s="13"/>
      <c r="B2165" s="93" t="s">
        <v>670</v>
      </c>
      <c r="C2165" s="15"/>
      <c r="D2165" s="40"/>
      <c r="E2165" s="40"/>
      <c r="F2165" s="40"/>
      <c r="G2165" s="40"/>
      <c r="H2165" s="40"/>
      <c r="I2165" s="40"/>
      <c r="J2165" s="40"/>
      <c r="K2165" s="40"/>
      <c r="L2165" s="60">
        <f>L2166</f>
        <v>1</v>
      </c>
      <c r="M2165" s="60" t="s">
        <v>556</v>
      </c>
      <c r="N2165" s="60" t="s">
        <v>556</v>
      </c>
      <c r="O2165" s="60" t="s">
        <v>556</v>
      </c>
      <c r="P2165" s="60" t="s">
        <v>556</v>
      </c>
      <c r="Q2165" s="70"/>
      <c r="R2165" s="41"/>
      <c r="S2165" s="41"/>
      <c r="T2165" s="46"/>
      <c r="U2165" s="46"/>
      <c r="V2165" s="46"/>
      <c r="W2165" s="46"/>
      <c r="X2165" s="46"/>
      <c r="Y2165" s="46"/>
      <c r="Z2165" s="46"/>
      <c r="AA2165" s="46"/>
      <c r="AB2165" s="46"/>
      <c r="AC2165" s="46"/>
      <c r="AD2165" s="46"/>
      <c r="AE2165" s="46"/>
      <c r="AF2165" s="46"/>
      <c r="AG2165" s="46"/>
      <c r="AH2165" s="46"/>
      <c r="AI2165" s="46"/>
      <c r="AJ2165" s="46"/>
      <c r="AK2165" s="46"/>
      <c r="AL2165" s="46"/>
      <c r="AM2165" s="46"/>
      <c r="AN2165" s="46"/>
      <c r="AO2165" s="46"/>
      <c r="AP2165" s="46"/>
      <c r="AQ2165" s="46"/>
      <c r="AR2165" s="46"/>
      <c r="AS2165" s="46"/>
      <c r="AT2165" s="46"/>
      <c r="AU2165" s="46"/>
      <c r="AV2165" s="46"/>
      <c r="BA2165" s="49"/>
      <c r="BB2165" s="42"/>
      <c r="BC2165" s="42"/>
      <c r="BD2165" s="42"/>
      <c r="BE2165" s="42"/>
    </row>
    <row r="2166" spans="1:57" s="43" customFormat="1" ht="17.25" customHeight="1">
      <c r="A2166" s="13"/>
      <c r="B2166" s="97" t="s">
        <v>403</v>
      </c>
      <c r="C2166" s="29" t="s">
        <v>404</v>
      </c>
      <c r="D2166" s="40"/>
      <c r="E2166" s="51"/>
      <c r="F2166" s="40">
        <v>1</v>
      </c>
      <c r="G2166" s="40">
        <v>1</v>
      </c>
      <c r="H2166" s="40">
        <v>1</v>
      </c>
      <c r="I2166" s="40">
        <v>1</v>
      </c>
      <c r="J2166" s="40">
        <v>1</v>
      </c>
      <c r="K2166" s="40">
        <v>1</v>
      </c>
      <c r="L2166" s="40">
        <v>1</v>
      </c>
      <c r="M2166" s="40" t="s">
        <v>556</v>
      </c>
      <c r="N2166" s="40" t="s">
        <v>556</v>
      </c>
      <c r="O2166" s="40" t="s">
        <v>556</v>
      </c>
      <c r="P2166" s="40" t="s">
        <v>556</v>
      </c>
      <c r="Q2166" s="70"/>
      <c r="R2166" s="41"/>
      <c r="S2166" s="41"/>
      <c r="T2166" s="46"/>
      <c r="U2166" s="46"/>
      <c r="V2166" s="46"/>
      <c r="W2166" s="46"/>
      <c r="X2166" s="46"/>
      <c r="Y2166" s="46"/>
      <c r="Z2166" s="46"/>
      <c r="AA2166" s="46"/>
      <c r="AB2166" s="46"/>
      <c r="AC2166" s="46"/>
      <c r="AD2166" s="46"/>
      <c r="AE2166" s="46"/>
      <c r="AF2166" s="46"/>
      <c r="AG2166" s="46"/>
      <c r="AH2166" s="46"/>
      <c r="AI2166" s="46"/>
      <c r="AJ2166" s="46"/>
      <c r="AK2166" s="46"/>
      <c r="AL2166" s="46"/>
      <c r="AM2166" s="46"/>
      <c r="AN2166" s="46"/>
      <c r="AO2166" s="46"/>
      <c r="AP2166" s="46"/>
      <c r="AQ2166" s="46"/>
      <c r="AR2166" s="46"/>
      <c r="AS2166" s="46"/>
      <c r="AT2166" s="46"/>
      <c r="AU2166" s="46"/>
      <c r="AV2166" s="46"/>
      <c r="BA2166" s="49"/>
      <c r="BB2166" s="42"/>
      <c r="BC2166" s="42"/>
      <c r="BD2166" s="42"/>
      <c r="BE2166" s="42"/>
    </row>
    <row r="2167" spans="1:188" s="57" customFormat="1" ht="17.25" customHeight="1">
      <c r="A2167" s="13">
        <v>9</v>
      </c>
      <c r="B2167" s="92" t="s">
        <v>515</v>
      </c>
      <c r="C2167" s="45"/>
      <c r="D2167" s="44">
        <v>20</v>
      </c>
      <c r="E2167" s="44">
        <v>4</v>
      </c>
      <c r="F2167" s="44"/>
      <c r="G2167" s="44">
        <v>25</v>
      </c>
      <c r="H2167" s="44">
        <v>25</v>
      </c>
      <c r="I2167" s="44">
        <v>25</v>
      </c>
      <c r="J2167" s="44">
        <v>25</v>
      </c>
      <c r="K2167" s="44">
        <v>25</v>
      </c>
      <c r="L2167" s="44">
        <v>6</v>
      </c>
      <c r="M2167" s="44">
        <v>5</v>
      </c>
      <c r="N2167" s="44">
        <v>6</v>
      </c>
      <c r="O2167" s="44">
        <v>6</v>
      </c>
      <c r="P2167" s="44">
        <v>6</v>
      </c>
      <c r="Q2167" s="54" t="s">
        <v>649</v>
      </c>
      <c r="R2167" s="54">
        <v>3</v>
      </c>
      <c r="S2167" s="59" t="s">
        <v>1310</v>
      </c>
      <c r="T2167" s="56"/>
      <c r="U2167" s="56"/>
      <c r="V2167" s="56"/>
      <c r="W2167" s="56"/>
      <c r="X2167" s="56"/>
      <c r="Y2167" s="56"/>
      <c r="Z2167" s="56"/>
      <c r="AA2167" s="56"/>
      <c r="AB2167" s="56"/>
      <c r="AC2167" s="56"/>
      <c r="AD2167" s="56"/>
      <c r="AE2167" s="56"/>
      <c r="AF2167" s="56"/>
      <c r="AG2167" s="56"/>
      <c r="AH2167" s="56"/>
      <c r="AI2167" s="56"/>
      <c r="AJ2167" s="56"/>
      <c r="AK2167" s="56"/>
      <c r="AL2167" s="56"/>
      <c r="AM2167" s="56"/>
      <c r="AN2167" s="56"/>
      <c r="AO2167" s="56"/>
      <c r="AP2167" s="56"/>
      <c r="AQ2167" s="56"/>
      <c r="AR2167" s="56"/>
      <c r="AS2167" s="56"/>
      <c r="AT2167" s="56"/>
      <c r="AU2167" s="56"/>
      <c r="AV2167" s="56"/>
      <c r="AW2167" s="56"/>
      <c r="AX2167" s="56"/>
      <c r="AY2167" s="56"/>
      <c r="AZ2167" s="56"/>
      <c r="BA2167" s="56"/>
      <c r="BB2167" s="56"/>
      <c r="BC2167" s="56"/>
      <c r="BD2167" s="56"/>
      <c r="BE2167" s="56"/>
      <c r="BF2167" s="56"/>
      <c r="BG2167" s="56"/>
      <c r="BH2167" s="56"/>
      <c r="BI2167" s="56"/>
      <c r="BJ2167" s="56"/>
      <c r="BK2167" s="56"/>
      <c r="BL2167" s="56"/>
      <c r="BM2167" s="56"/>
      <c r="BN2167" s="56"/>
      <c r="BO2167" s="56"/>
      <c r="BP2167" s="56"/>
      <c r="BQ2167" s="56"/>
      <c r="BR2167" s="56"/>
      <c r="BS2167" s="56"/>
      <c r="BT2167" s="56"/>
      <c r="BU2167" s="56"/>
      <c r="BV2167" s="56"/>
      <c r="BW2167" s="56"/>
      <c r="BX2167" s="56"/>
      <c r="BY2167" s="56"/>
      <c r="BZ2167" s="56"/>
      <c r="CA2167" s="56"/>
      <c r="CB2167" s="56"/>
      <c r="CC2167" s="56"/>
      <c r="CD2167" s="56"/>
      <c r="CE2167" s="56"/>
      <c r="CF2167" s="56"/>
      <c r="CG2167" s="56"/>
      <c r="CH2167" s="56"/>
      <c r="CI2167" s="56"/>
      <c r="CJ2167" s="56"/>
      <c r="CK2167" s="56"/>
      <c r="CL2167" s="56"/>
      <c r="CM2167" s="56"/>
      <c r="CN2167" s="56"/>
      <c r="CO2167" s="56"/>
      <c r="CP2167" s="56"/>
      <c r="CQ2167" s="56"/>
      <c r="CR2167" s="56"/>
      <c r="CS2167" s="56"/>
      <c r="CT2167" s="56"/>
      <c r="CU2167" s="56"/>
      <c r="CV2167" s="56"/>
      <c r="CW2167" s="56"/>
      <c r="CX2167" s="56"/>
      <c r="CY2167" s="56"/>
      <c r="CZ2167" s="56"/>
      <c r="DA2167" s="56"/>
      <c r="DB2167" s="56"/>
      <c r="DC2167" s="56"/>
      <c r="DD2167" s="56"/>
      <c r="DE2167" s="56"/>
      <c r="DF2167" s="56"/>
      <c r="DG2167" s="56"/>
      <c r="DH2167" s="56"/>
      <c r="DI2167" s="56"/>
      <c r="DJ2167" s="56"/>
      <c r="DK2167" s="56"/>
      <c r="DL2167" s="56"/>
      <c r="DM2167" s="56"/>
      <c r="DN2167" s="56"/>
      <c r="DO2167" s="56"/>
      <c r="DP2167" s="56"/>
      <c r="DQ2167" s="56"/>
      <c r="DR2167" s="56"/>
      <c r="DS2167" s="56"/>
      <c r="DT2167" s="56"/>
      <c r="DU2167" s="56"/>
      <c r="DV2167" s="56"/>
      <c r="DW2167" s="56"/>
      <c r="DX2167" s="56"/>
      <c r="DY2167" s="56"/>
      <c r="DZ2167" s="56"/>
      <c r="EA2167" s="56"/>
      <c r="EB2167" s="56"/>
      <c r="EC2167" s="56"/>
      <c r="ED2167" s="56"/>
      <c r="EE2167" s="56"/>
      <c r="EF2167" s="56"/>
      <c r="EG2167" s="56"/>
      <c r="EH2167" s="56"/>
      <c r="EI2167" s="56"/>
      <c r="EJ2167" s="56"/>
      <c r="EK2167" s="56"/>
      <c r="EL2167" s="56"/>
      <c r="EM2167" s="56"/>
      <c r="EN2167" s="56"/>
      <c r="EO2167" s="56"/>
      <c r="EP2167" s="56"/>
      <c r="EQ2167" s="56"/>
      <c r="ER2167" s="56"/>
      <c r="ES2167" s="56"/>
      <c r="ET2167" s="56"/>
      <c r="EU2167" s="56"/>
      <c r="EV2167" s="56"/>
      <c r="EW2167" s="56"/>
      <c r="EX2167" s="56"/>
      <c r="EY2167" s="56"/>
      <c r="EZ2167" s="56"/>
      <c r="FA2167" s="56"/>
      <c r="FB2167" s="56"/>
      <c r="FC2167" s="56"/>
      <c r="FD2167" s="56"/>
      <c r="FE2167" s="56"/>
      <c r="FF2167" s="56"/>
      <c r="FG2167" s="56"/>
      <c r="FH2167" s="56"/>
      <c r="FI2167" s="56"/>
      <c r="FJ2167" s="56"/>
      <c r="FK2167" s="56"/>
      <c r="FL2167" s="56"/>
      <c r="FM2167" s="56"/>
      <c r="FN2167" s="56"/>
      <c r="FO2167" s="56"/>
      <c r="FP2167" s="56"/>
      <c r="FQ2167" s="56"/>
      <c r="FR2167" s="56"/>
      <c r="FS2167" s="56"/>
      <c r="FT2167" s="56"/>
      <c r="FU2167" s="56"/>
      <c r="FV2167" s="56"/>
      <c r="FW2167" s="56"/>
      <c r="FX2167" s="56"/>
      <c r="FY2167" s="56"/>
      <c r="FZ2167" s="56"/>
      <c r="GA2167" s="56"/>
      <c r="GB2167" s="56"/>
      <c r="GC2167" s="56"/>
      <c r="GD2167" s="56"/>
      <c r="GE2167" s="56"/>
      <c r="GF2167" s="56"/>
    </row>
    <row r="2168" spans="1:57" s="43" customFormat="1" ht="17.25" customHeight="1">
      <c r="A2168" s="13"/>
      <c r="B2168" s="93" t="s">
        <v>669</v>
      </c>
      <c r="C2168" s="15"/>
      <c r="D2168" s="40"/>
      <c r="E2168" s="40"/>
      <c r="F2168" s="40"/>
      <c r="G2168" s="40"/>
      <c r="H2168" s="40"/>
      <c r="I2168" s="40"/>
      <c r="J2168" s="40"/>
      <c r="K2168" s="40"/>
      <c r="L2168" s="60">
        <f>SUM(L2169:L2171)</f>
        <v>6</v>
      </c>
      <c r="M2168" s="60">
        <f>SUM(M2169:M2171)</f>
        <v>5</v>
      </c>
      <c r="N2168" s="60">
        <f>SUM(N2169:N2171)</f>
        <v>6</v>
      </c>
      <c r="O2168" s="60">
        <f>SUM(O2169:O2171)</f>
        <v>5</v>
      </c>
      <c r="P2168" s="60">
        <f>SUM(P2169:P2171)</f>
        <v>5</v>
      </c>
      <c r="Q2168" s="70"/>
      <c r="R2168" s="41"/>
      <c r="S2168" s="41"/>
      <c r="T2168" s="46"/>
      <c r="U2168" s="46"/>
      <c r="V2168" s="46"/>
      <c r="W2168" s="46"/>
      <c r="X2168" s="46"/>
      <c r="Y2168" s="46"/>
      <c r="Z2168" s="46"/>
      <c r="AA2168" s="46"/>
      <c r="AB2168" s="46"/>
      <c r="AC2168" s="46"/>
      <c r="AD2168" s="46"/>
      <c r="AE2168" s="46"/>
      <c r="AF2168" s="46"/>
      <c r="AG2168" s="46"/>
      <c r="AH2168" s="46"/>
      <c r="AI2168" s="46"/>
      <c r="AJ2168" s="46"/>
      <c r="AK2168" s="46"/>
      <c r="AL2168" s="46"/>
      <c r="AM2168" s="46"/>
      <c r="AN2168" s="46"/>
      <c r="AO2168" s="46"/>
      <c r="AP2168" s="46"/>
      <c r="AQ2168" s="46"/>
      <c r="AR2168" s="46"/>
      <c r="AS2168" s="46"/>
      <c r="AT2168" s="46"/>
      <c r="AU2168" s="46"/>
      <c r="AV2168" s="46"/>
      <c r="BA2168" s="49"/>
      <c r="BB2168" s="42"/>
      <c r="BC2168" s="42"/>
      <c r="BD2168" s="42"/>
      <c r="BE2168" s="42"/>
    </row>
    <row r="2169" spans="1:57" s="43" customFormat="1" ht="17.25" customHeight="1">
      <c r="A2169" s="12"/>
      <c r="B2169" s="97" t="s">
        <v>411</v>
      </c>
      <c r="C2169" s="15" t="s">
        <v>412</v>
      </c>
      <c r="D2169" s="40"/>
      <c r="E2169" s="40"/>
      <c r="F2169" s="40"/>
      <c r="G2169" s="40">
        <v>6</v>
      </c>
      <c r="H2169" s="40">
        <v>6</v>
      </c>
      <c r="I2169" s="40">
        <v>6</v>
      </c>
      <c r="J2169" s="40">
        <v>6</v>
      </c>
      <c r="K2169" s="40">
        <v>6</v>
      </c>
      <c r="L2169" s="40">
        <v>2</v>
      </c>
      <c r="M2169" s="40">
        <v>2</v>
      </c>
      <c r="N2169" s="40">
        <v>2</v>
      </c>
      <c r="O2169" s="40">
        <v>2</v>
      </c>
      <c r="P2169" s="40">
        <v>2</v>
      </c>
      <c r="Q2169" s="70"/>
      <c r="R2169" s="41"/>
      <c r="S2169" s="41"/>
      <c r="T2169" s="46"/>
      <c r="U2169" s="46"/>
      <c r="V2169" s="46"/>
      <c r="W2169" s="46"/>
      <c r="X2169" s="46"/>
      <c r="Y2169" s="46"/>
      <c r="Z2169" s="46"/>
      <c r="AA2169" s="46"/>
      <c r="AB2169" s="46"/>
      <c r="AC2169" s="46"/>
      <c r="AD2169" s="46"/>
      <c r="AE2169" s="46"/>
      <c r="AF2169" s="46"/>
      <c r="AG2169" s="46"/>
      <c r="AH2169" s="46"/>
      <c r="AI2169" s="46"/>
      <c r="AJ2169" s="46"/>
      <c r="AK2169" s="46"/>
      <c r="AL2169" s="46"/>
      <c r="AM2169" s="46"/>
      <c r="AN2169" s="46"/>
      <c r="AO2169" s="46"/>
      <c r="AP2169" s="46"/>
      <c r="AQ2169" s="46"/>
      <c r="AR2169" s="46"/>
      <c r="AS2169" s="46"/>
      <c r="AT2169" s="46"/>
      <c r="AU2169" s="46"/>
      <c r="AV2169" s="46"/>
      <c r="BA2169" s="49"/>
      <c r="BB2169" s="42"/>
      <c r="BC2169" s="42"/>
      <c r="BD2169" s="42"/>
      <c r="BE2169" s="42"/>
    </row>
    <row r="2170" spans="1:57" s="43" customFormat="1" ht="17.25" customHeight="1">
      <c r="A2170" s="12"/>
      <c r="B2170" s="97" t="s">
        <v>529</v>
      </c>
      <c r="C2170" s="29" t="s">
        <v>530</v>
      </c>
      <c r="D2170" s="40"/>
      <c r="E2170" s="40"/>
      <c r="F2170" s="40"/>
      <c r="G2170" s="40">
        <v>2</v>
      </c>
      <c r="H2170" s="40">
        <v>2</v>
      </c>
      <c r="I2170" s="40">
        <v>2</v>
      </c>
      <c r="J2170" s="40">
        <v>2</v>
      </c>
      <c r="K2170" s="40">
        <v>2</v>
      </c>
      <c r="L2170" s="40">
        <v>1</v>
      </c>
      <c r="M2170" s="40" t="s">
        <v>556</v>
      </c>
      <c r="N2170" s="40">
        <v>1</v>
      </c>
      <c r="O2170" s="40" t="s">
        <v>556</v>
      </c>
      <c r="P2170" s="40" t="s">
        <v>556</v>
      </c>
      <c r="Q2170" s="70"/>
      <c r="R2170" s="41"/>
      <c r="S2170" s="41"/>
      <c r="T2170" s="46"/>
      <c r="U2170" s="46"/>
      <c r="V2170" s="46"/>
      <c r="W2170" s="46"/>
      <c r="X2170" s="46"/>
      <c r="Y2170" s="46"/>
      <c r="Z2170" s="46"/>
      <c r="AA2170" s="46"/>
      <c r="AB2170" s="46"/>
      <c r="AC2170" s="46"/>
      <c r="AD2170" s="46"/>
      <c r="AE2170" s="46"/>
      <c r="AF2170" s="46"/>
      <c r="AG2170" s="46"/>
      <c r="AH2170" s="46"/>
      <c r="AI2170" s="46"/>
      <c r="AJ2170" s="46"/>
      <c r="AK2170" s="46"/>
      <c r="AL2170" s="46"/>
      <c r="AM2170" s="46"/>
      <c r="AN2170" s="46"/>
      <c r="AO2170" s="46"/>
      <c r="AP2170" s="46"/>
      <c r="AQ2170" s="46"/>
      <c r="AR2170" s="46"/>
      <c r="AS2170" s="46"/>
      <c r="AT2170" s="46"/>
      <c r="AU2170" s="46"/>
      <c r="AV2170" s="46"/>
      <c r="BA2170" s="49"/>
      <c r="BB2170" s="42"/>
      <c r="BC2170" s="42"/>
      <c r="BD2170" s="42"/>
      <c r="BE2170" s="42"/>
    </row>
    <row r="2171" spans="1:57" s="43" customFormat="1" ht="17.25" customHeight="1">
      <c r="A2171" s="12"/>
      <c r="B2171" s="97" t="s">
        <v>531</v>
      </c>
      <c r="C2171" s="29" t="s">
        <v>532</v>
      </c>
      <c r="D2171" s="40"/>
      <c r="E2171" s="40"/>
      <c r="F2171" s="40"/>
      <c r="G2171" s="40">
        <v>5</v>
      </c>
      <c r="H2171" s="40">
        <v>5</v>
      </c>
      <c r="I2171" s="40">
        <v>5</v>
      </c>
      <c r="J2171" s="40">
        <v>5</v>
      </c>
      <c r="K2171" s="40">
        <v>5</v>
      </c>
      <c r="L2171" s="40">
        <v>3</v>
      </c>
      <c r="M2171" s="40">
        <v>3</v>
      </c>
      <c r="N2171" s="40">
        <v>3</v>
      </c>
      <c r="O2171" s="40">
        <v>3</v>
      </c>
      <c r="P2171" s="40">
        <v>3</v>
      </c>
      <c r="Q2171" s="70"/>
      <c r="R2171" s="41"/>
      <c r="S2171" s="41"/>
      <c r="T2171" s="46"/>
      <c r="U2171" s="46"/>
      <c r="V2171" s="46"/>
      <c r="W2171" s="46"/>
      <c r="X2171" s="46"/>
      <c r="Y2171" s="46"/>
      <c r="Z2171" s="46"/>
      <c r="AA2171" s="46"/>
      <c r="AB2171" s="46"/>
      <c r="AC2171" s="46"/>
      <c r="AD2171" s="46"/>
      <c r="AE2171" s="46"/>
      <c r="AF2171" s="46"/>
      <c r="AG2171" s="46"/>
      <c r="AH2171" s="46"/>
      <c r="AI2171" s="46"/>
      <c r="AJ2171" s="46"/>
      <c r="AK2171" s="46"/>
      <c r="AL2171" s="46"/>
      <c r="AM2171" s="46"/>
      <c r="AN2171" s="46"/>
      <c r="AO2171" s="46"/>
      <c r="AP2171" s="46"/>
      <c r="AQ2171" s="46"/>
      <c r="AR2171" s="46"/>
      <c r="AS2171" s="46"/>
      <c r="AT2171" s="46"/>
      <c r="AU2171" s="46"/>
      <c r="AV2171" s="46"/>
      <c r="BA2171" s="49"/>
      <c r="BB2171" s="42"/>
      <c r="BC2171" s="42"/>
      <c r="BD2171" s="42"/>
      <c r="BE2171" s="42"/>
    </row>
    <row r="2172" spans="1:48" s="43" customFormat="1" ht="17.25" customHeight="1">
      <c r="A2172" s="13"/>
      <c r="B2172" s="93" t="s">
        <v>37</v>
      </c>
      <c r="C2172" s="29"/>
      <c r="D2172" s="40"/>
      <c r="E2172" s="40"/>
      <c r="F2172" s="40"/>
      <c r="G2172" s="40"/>
      <c r="H2172" s="40"/>
      <c r="I2172" s="40"/>
      <c r="J2172" s="40"/>
      <c r="K2172" s="40"/>
      <c r="L2172" s="40" t="s">
        <v>556</v>
      </c>
      <c r="M2172" s="40" t="s">
        <v>556</v>
      </c>
      <c r="N2172" s="40" t="s">
        <v>556</v>
      </c>
      <c r="O2172" s="40">
        <v>1</v>
      </c>
      <c r="P2172" s="40">
        <v>1</v>
      </c>
      <c r="Q2172" s="70"/>
      <c r="R2172" s="70"/>
      <c r="S2172" s="70"/>
      <c r="T2172" s="46"/>
      <c r="U2172" s="46"/>
      <c r="V2172" s="46"/>
      <c r="W2172" s="46"/>
      <c r="X2172" s="46"/>
      <c r="Y2172" s="46"/>
      <c r="Z2172" s="46"/>
      <c r="AA2172" s="46"/>
      <c r="AB2172" s="46"/>
      <c r="AC2172" s="46"/>
      <c r="AD2172" s="46"/>
      <c r="AE2172" s="46"/>
      <c r="AF2172" s="46"/>
      <c r="AG2172" s="46"/>
      <c r="AH2172" s="46"/>
      <c r="AI2172" s="46"/>
      <c r="AJ2172" s="46"/>
      <c r="AK2172" s="46"/>
      <c r="AL2172" s="46"/>
      <c r="AM2172" s="46"/>
      <c r="AN2172" s="46"/>
      <c r="AO2172" s="46"/>
      <c r="AP2172" s="46"/>
      <c r="AQ2172" s="46"/>
      <c r="AR2172" s="46"/>
      <c r="AS2172" s="46"/>
      <c r="AT2172" s="46"/>
      <c r="AU2172" s="46"/>
      <c r="AV2172" s="46"/>
    </row>
    <row r="2173" spans="1:57" s="43" customFormat="1" ht="17.25" customHeight="1">
      <c r="A2173" s="12"/>
      <c r="B2173" s="106" t="s">
        <v>1045</v>
      </c>
      <c r="C2173" s="66" t="s">
        <v>1046</v>
      </c>
      <c r="D2173" s="40"/>
      <c r="E2173" s="40"/>
      <c r="F2173" s="40"/>
      <c r="G2173" s="40">
        <v>1</v>
      </c>
      <c r="H2173" s="40">
        <v>1</v>
      </c>
      <c r="I2173" s="40">
        <v>1</v>
      </c>
      <c r="J2173" s="40">
        <v>1</v>
      </c>
      <c r="K2173" s="40">
        <v>1</v>
      </c>
      <c r="L2173" s="40" t="s">
        <v>556</v>
      </c>
      <c r="M2173" s="40" t="s">
        <v>556</v>
      </c>
      <c r="N2173" s="40" t="s">
        <v>556</v>
      </c>
      <c r="O2173" s="40">
        <v>1</v>
      </c>
      <c r="P2173" s="40" t="s">
        <v>556</v>
      </c>
      <c r="Q2173" s="70"/>
      <c r="R2173" s="41"/>
      <c r="S2173" s="41"/>
      <c r="T2173" s="46"/>
      <c r="U2173" s="46"/>
      <c r="V2173" s="46"/>
      <c r="W2173" s="46"/>
      <c r="X2173" s="46"/>
      <c r="Y2173" s="46"/>
      <c r="Z2173" s="46"/>
      <c r="AA2173" s="46"/>
      <c r="AB2173" s="46"/>
      <c r="AC2173" s="46"/>
      <c r="AD2173" s="46"/>
      <c r="AE2173" s="46"/>
      <c r="AF2173" s="46"/>
      <c r="AG2173" s="46"/>
      <c r="AH2173" s="46"/>
      <c r="AI2173" s="46"/>
      <c r="AJ2173" s="46"/>
      <c r="AK2173" s="46"/>
      <c r="AL2173" s="46"/>
      <c r="AM2173" s="46"/>
      <c r="AN2173" s="46"/>
      <c r="AO2173" s="46"/>
      <c r="AP2173" s="46"/>
      <c r="AQ2173" s="46"/>
      <c r="AR2173" s="46"/>
      <c r="AS2173" s="46"/>
      <c r="AT2173" s="46"/>
      <c r="AU2173" s="46"/>
      <c r="AV2173" s="46"/>
      <c r="BA2173" s="49"/>
      <c r="BB2173" s="42"/>
      <c r="BC2173" s="42"/>
      <c r="BD2173" s="42"/>
      <c r="BE2173" s="42"/>
    </row>
    <row r="2174" spans="1:48" s="43" customFormat="1" ht="17.25" customHeight="1">
      <c r="A2174" s="12"/>
      <c r="B2174" s="97" t="s">
        <v>38</v>
      </c>
      <c r="C2174" s="66" t="s">
        <v>457</v>
      </c>
      <c r="D2174" s="40"/>
      <c r="E2174" s="40"/>
      <c r="F2174" s="40"/>
      <c r="G2174" s="40">
        <v>1</v>
      </c>
      <c r="H2174" s="40">
        <v>1</v>
      </c>
      <c r="I2174" s="40">
        <v>1</v>
      </c>
      <c r="J2174" s="40">
        <v>1</v>
      </c>
      <c r="K2174" s="40">
        <v>1</v>
      </c>
      <c r="L2174" s="40" t="s">
        <v>556</v>
      </c>
      <c r="M2174" s="40" t="s">
        <v>556</v>
      </c>
      <c r="N2174" s="40" t="s">
        <v>556</v>
      </c>
      <c r="O2174" s="40" t="s">
        <v>556</v>
      </c>
      <c r="P2174" s="40">
        <v>1</v>
      </c>
      <c r="Q2174" s="70"/>
      <c r="R2174" s="70"/>
      <c r="S2174" s="70"/>
      <c r="T2174" s="46"/>
      <c r="U2174" s="46"/>
      <c r="V2174" s="46"/>
      <c r="W2174" s="46"/>
      <c r="X2174" s="46"/>
      <c r="Y2174" s="46"/>
      <c r="Z2174" s="46"/>
      <c r="AA2174" s="46"/>
      <c r="AB2174" s="46"/>
      <c r="AC2174" s="46"/>
      <c r="AD2174" s="46"/>
      <c r="AE2174" s="46"/>
      <c r="AF2174" s="46"/>
      <c r="AG2174" s="46"/>
      <c r="AH2174" s="46"/>
      <c r="AI2174" s="46"/>
      <c r="AJ2174" s="46"/>
      <c r="AK2174" s="46"/>
      <c r="AL2174" s="46"/>
      <c r="AM2174" s="46"/>
      <c r="AN2174" s="46"/>
      <c r="AO2174" s="46"/>
      <c r="AP2174" s="46"/>
      <c r="AQ2174" s="46"/>
      <c r="AR2174" s="46"/>
      <c r="AS2174" s="46"/>
      <c r="AT2174" s="46"/>
      <c r="AU2174" s="46"/>
      <c r="AV2174" s="46"/>
    </row>
    <row r="2175" spans="1:188" s="57" customFormat="1" ht="17.25" customHeight="1">
      <c r="A2175" s="13">
        <v>10</v>
      </c>
      <c r="B2175" s="92" t="s">
        <v>518</v>
      </c>
      <c r="C2175" s="45"/>
      <c r="D2175" s="44">
        <v>32</v>
      </c>
      <c r="E2175" s="44" t="s">
        <v>556</v>
      </c>
      <c r="F2175" s="44"/>
      <c r="G2175" s="44">
        <v>34</v>
      </c>
      <c r="H2175" s="44">
        <v>34</v>
      </c>
      <c r="I2175" s="44">
        <v>34</v>
      </c>
      <c r="J2175" s="44">
        <v>34</v>
      </c>
      <c r="K2175" s="44">
        <v>34</v>
      </c>
      <c r="L2175" s="44">
        <f>L2176</f>
        <v>2</v>
      </c>
      <c r="M2175" s="44">
        <f>M2176</f>
        <v>2</v>
      </c>
      <c r="N2175" s="44">
        <f>N2176</f>
        <v>2</v>
      </c>
      <c r="O2175" s="44">
        <f>O2176</f>
        <v>2</v>
      </c>
      <c r="P2175" s="44">
        <f>P2176</f>
        <v>2</v>
      </c>
      <c r="Q2175" s="54" t="s">
        <v>649</v>
      </c>
      <c r="R2175" s="54">
        <v>3</v>
      </c>
      <c r="S2175" s="59" t="s">
        <v>1310</v>
      </c>
      <c r="T2175" s="56"/>
      <c r="U2175" s="56"/>
      <c r="V2175" s="56"/>
      <c r="W2175" s="56"/>
      <c r="X2175" s="56"/>
      <c r="Y2175" s="56"/>
      <c r="Z2175" s="56"/>
      <c r="AA2175" s="56"/>
      <c r="AB2175" s="56"/>
      <c r="AC2175" s="56"/>
      <c r="AD2175" s="56"/>
      <c r="AE2175" s="56"/>
      <c r="AF2175" s="56"/>
      <c r="AG2175" s="56"/>
      <c r="AH2175" s="56"/>
      <c r="AI2175" s="56"/>
      <c r="AJ2175" s="56"/>
      <c r="AK2175" s="56"/>
      <c r="AL2175" s="56"/>
      <c r="AM2175" s="56"/>
      <c r="AN2175" s="56"/>
      <c r="AO2175" s="56"/>
      <c r="AP2175" s="56"/>
      <c r="AQ2175" s="56"/>
      <c r="AR2175" s="56"/>
      <c r="AS2175" s="56"/>
      <c r="AT2175" s="56"/>
      <c r="AU2175" s="56"/>
      <c r="AV2175" s="56"/>
      <c r="AW2175" s="56"/>
      <c r="AX2175" s="56"/>
      <c r="AY2175" s="56"/>
      <c r="AZ2175" s="56"/>
      <c r="BA2175" s="56"/>
      <c r="BB2175" s="56"/>
      <c r="BC2175" s="56"/>
      <c r="BD2175" s="56"/>
      <c r="BE2175" s="56"/>
      <c r="BF2175" s="56"/>
      <c r="BG2175" s="56"/>
      <c r="BH2175" s="56"/>
      <c r="BI2175" s="56"/>
      <c r="BJ2175" s="56"/>
      <c r="BK2175" s="56"/>
      <c r="BL2175" s="56"/>
      <c r="BM2175" s="56"/>
      <c r="BN2175" s="56"/>
      <c r="BO2175" s="56"/>
      <c r="BP2175" s="56"/>
      <c r="BQ2175" s="56"/>
      <c r="BR2175" s="56"/>
      <c r="BS2175" s="56"/>
      <c r="BT2175" s="56"/>
      <c r="BU2175" s="56"/>
      <c r="BV2175" s="56"/>
      <c r="BW2175" s="56"/>
      <c r="BX2175" s="56"/>
      <c r="BY2175" s="56"/>
      <c r="BZ2175" s="56"/>
      <c r="CA2175" s="56"/>
      <c r="CB2175" s="56"/>
      <c r="CC2175" s="56"/>
      <c r="CD2175" s="56"/>
      <c r="CE2175" s="56"/>
      <c r="CF2175" s="56"/>
      <c r="CG2175" s="56"/>
      <c r="CH2175" s="56"/>
      <c r="CI2175" s="56"/>
      <c r="CJ2175" s="56"/>
      <c r="CK2175" s="56"/>
      <c r="CL2175" s="56"/>
      <c r="CM2175" s="56"/>
      <c r="CN2175" s="56"/>
      <c r="CO2175" s="56"/>
      <c r="CP2175" s="56"/>
      <c r="CQ2175" s="56"/>
      <c r="CR2175" s="56"/>
      <c r="CS2175" s="56"/>
      <c r="CT2175" s="56"/>
      <c r="CU2175" s="56"/>
      <c r="CV2175" s="56"/>
      <c r="CW2175" s="56"/>
      <c r="CX2175" s="56"/>
      <c r="CY2175" s="56"/>
      <c r="CZ2175" s="56"/>
      <c r="DA2175" s="56"/>
      <c r="DB2175" s="56"/>
      <c r="DC2175" s="56"/>
      <c r="DD2175" s="56"/>
      <c r="DE2175" s="56"/>
      <c r="DF2175" s="56"/>
      <c r="DG2175" s="56"/>
      <c r="DH2175" s="56"/>
      <c r="DI2175" s="56"/>
      <c r="DJ2175" s="56"/>
      <c r="DK2175" s="56"/>
      <c r="DL2175" s="56"/>
      <c r="DM2175" s="56"/>
      <c r="DN2175" s="56"/>
      <c r="DO2175" s="56"/>
      <c r="DP2175" s="56"/>
      <c r="DQ2175" s="56"/>
      <c r="DR2175" s="56"/>
      <c r="DS2175" s="56"/>
      <c r="DT2175" s="56"/>
      <c r="DU2175" s="56"/>
      <c r="DV2175" s="56"/>
      <c r="DW2175" s="56"/>
      <c r="DX2175" s="56"/>
      <c r="DY2175" s="56"/>
      <c r="DZ2175" s="56"/>
      <c r="EA2175" s="56"/>
      <c r="EB2175" s="56"/>
      <c r="EC2175" s="56"/>
      <c r="ED2175" s="56"/>
      <c r="EE2175" s="56"/>
      <c r="EF2175" s="56"/>
      <c r="EG2175" s="56"/>
      <c r="EH2175" s="56"/>
      <c r="EI2175" s="56"/>
      <c r="EJ2175" s="56"/>
      <c r="EK2175" s="56"/>
      <c r="EL2175" s="56"/>
      <c r="EM2175" s="56"/>
      <c r="EN2175" s="56"/>
      <c r="EO2175" s="56"/>
      <c r="EP2175" s="56"/>
      <c r="EQ2175" s="56"/>
      <c r="ER2175" s="56"/>
      <c r="ES2175" s="56"/>
      <c r="ET2175" s="56"/>
      <c r="EU2175" s="56"/>
      <c r="EV2175" s="56"/>
      <c r="EW2175" s="56"/>
      <c r="EX2175" s="56"/>
      <c r="EY2175" s="56"/>
      <c r="EZ2175" s="56"/>
      <c r="FA2175" s="56"/>
      <c r="FB2175" s="56"/>
      <c r="FC2175" s="56"/>
      <c r="FD2175" s="56"/>
      <c r="FE2175" s="56"/>
      <c r="FF2175" s="56"/>
      <c r="FG2175" s="56"/>
      <c r="FH2175" s="56"/>
      <c r="FI2175" s="56"/>
      <c r="FJ2175" s="56"/>
      <c r="FK2175" s="56"/>
      <c r="FL2175" s="56"/>
      <c r="FM2175" s="56"/>
      <c r="FN2175" s="56"/>
      <c r="FO2175" s="56"/>
      <c r="FP2175" s="56"/>
      <c r="FQ2175" s="56"/>
      <c r="FR2175" s="56"/>
      <c r="FS2175" s="56"/>
      <c r="FT2175" s="56"/>
      <c r="FU2175" s="56"/>
      <c r="FV2175" s="56"/>
      <c r="FW2175" s="56"/>
      <c r="FX2175" s="56"/>
      <c r="FY2175" s="56"/>
      <c r="FZ2175" s="56"/>
      <c r="GA2175" s="56"/>
      <c r="GB2175" s="56"/>
      <c r="GC2175" s="56"/>
      <c r="GD2175" s="56"/>
      <c r="GE2175" s="56"/>
      <c r="GF2175" s="56"/>
    </row>
    <row r="2176" spans="1:57" s="43" customFormat="1" ht="17.25" customHeight="1">
      <c r="A2176" s="13"/>
      <c r="B2176" s="93" t="s">
        <v>669</v>
      </c>
      <c r="C2176" s="15"/>
      <c r="D2176" s="40"/>
      <c r="E2176" s="40"/>
      <c r="F2176" s="40"/>
      <c r="G2176" s="40"/>
      <c r="H2176" s="40"/>
      <c r="I2176" s="40"/>
      <c r="J2176" s="40"/>
      <c r="K2176" s="40"/>
      <c r="L2176" s="60">
        <f>SUM(L2177:L2177)</f>
        <v>2</v>
      </c>
      <c r="M2176" s="60">
        <f>SUM(M2177:M2177)</f>
        <v>2</v>
      </c>
      <c r="N2176" s="60">
        <f>SUM(N2177:N2177)</f>
        <v>2</v>
      </c>
      <c r="O2176" s="60">
        <f>SUM(O2177:O2177)</f>
        <v>2</v>
      </c>
      <c r="P2176" s="60">
        <f>SUM(P2177:P2177)</f>
        <v>2</v>
      </c>
      <c r="Q2176" s="70"/>
      <c r="R2176" s="41"/>
      <c r="S2176" s="41"/>
      <c r="T2176" s="46"/>
      <c r="U2176" s="46"/>
      <c r="V2176" s="46"/>
      <c r="W2176" s="46"/>
      <c r="X2176" s="46"/>
      <c r="Y2176" s="46"/>
      <c r="Z2176" s="46"/>
      <c r="AA2176" s="46"/>
      <c r="AB2176" s="46"/>
      <c r="AC2176" s="46"/>
      <c r="AD2176" s="46"/>
      <c r="AE2176" s="46"/>
      <c r="AF2176" s="46"/>
      <c r="AG2176" s="46"/>
      <c r="AH2176" s="46"/>
      <c r="AI2176" s="46"/>
      <c r="AJ2176" s="46"/>
      <c r="AK2176" s="46"/>
      <c r="AL2176" s="46"/>
      <c r="AM2176" s="46"/>
      <c r="AN2176" s="46"/>
      <c r="AO2176" s="46"/>
      <c r="AP2176" s="46"/>
      <c r="AQ2176" s="46"/>
      <c r="AR2176" s="46"/>
      <c r="AS2176" s="46"/>
      <c r="AT2176" s="46"/>
      <c r="AU2176" s="46"/>
      <c r="AV2176" s="46"/>
      <c r="BA2176" s="49"/>
      <c r="BB2176" s="42"/>
      <c r="BC2176" s="42"/>
      <c r="BD2176" s="42"/>
      <c r="BE2176" s="42"/>
    </row>
    <row r="2177" spans="1:57" s="43" customFormat="1" ht="17.25" customHeight="1">
      <c r="A2177" s="12"/>
      <c r="B2177" s="97" t="s">
        <v>531</v>
      </c>
      <c r="C2177" s="29" t="s">
        <v>532</v>
      </c>
      <c r="D2177" s="40"/>
      <c r="E2177" s="40"/>
      <c r="F2177" s="40"/>
      <c r="G2177" s="40">
        <v>7</v>
      </c>
      <c r="H2177" s="40">
        <v>7</v>
      </c>
      <c r="I2177" s="40">
        <v>7</v>
      </c>
      <c r="J2177" s="40">
        <v>7</v>
      </c>
      <c r="K2177" s="40">
        <v>7</v>
      </c>
      <c r="L2177" s="40">
        <v>2</v>
      </c>
      <c r="M2177" s="40">
        <v>2</v>
      </c>
      <c r="N2177" s="40">
        <v>2</v>
      </c>
      <c r="O2177" s="40">
        <v>2</v>
      </c>
      <c r="P2177" s="40">
        <v>2</v>
      </c>
      <c r="Q2177" s="70"/>
      <c r="R2177" s="41"/>
      <c r="S2177" s="41"/>
      <c r="T2177" s="46"/>
      <c r="U2177" s="46"/>
      <c r="V2177" s="46"/>
      <c r="W2177" s="46"/>
      <c r="X2177" s="46"/>
      <c r="Y2177" s="46"/>
      <c r="Z2177" s="46"/>
      <c r="AA2177" s="46"/>
      <c r="AB2177" s="46"/>
      <c r="AC2177" s="46"/>
      <c r="AD2177" s="46"/>
      <c r="AE2177" s="46"/>
      <c r="AF2177" s="46"/>
      <c r="AG2177" s="46"/>
      <c r="AH2177" s="46"/>
      <c r="AI2177" s="46"/>
      <c r="AJ2177" s="46"/>
      <c r="AK2177" s="46"/>
      <c r="AL2177" s="46"/>
      <c r="AM2177" s="46"/>
      <c r="AN2177" s="46"/>
      <c r="AO2177" s="46"/>
      <c r="AP2177" s="46"/>
      <c r="AQ2177" s="46"/>
      <c r="AR2177" s="46"/>
      <c r="AS2177" s="46"/>
      <c r="AT2177" s="46"/>
      <c r="AU2177" s="46"/>
      <c r="AV2177" s="46"/>
      <c r="BA2177" s="49"/>
      <c r="BB2177" s="42"/>
      <c r="BC2177" s="42"/>
      <c r="BD2177" s="42"/>
      <c r="BE2177" s="42"/>
    </row>
    <row r="2178" spans="1:188" s="57" customFormat="1" ht="17.25" customHeight="1">
      <c r="A2178" s="13">
        <v>11</v>
      </c>
      <c r="B2178" s="92" t="s">
        <v>516</v>
      </c>
      <c r="C2178" s="45"/>
      <c r="D2178" s="44">
        <v>38</v>
      </c>
      <c r="E2178" s="44">
        <v>3</v>
      </c>
      <c r="F2178" s="44"/>
      <c r="G2178" s="44">
        <v>38</v>
      </c>
      <c r="H2178" s="44">
        <v>38</v>
      </c>
      <c r="I2178" s="44">
        <v>38</v>
      </c>
      <c r="J2178" s="44">
        <v>38</v>
      </c>
      <c r="K2178" s="44">
        <v>38</v>
      </c>
      <c r="L2178" s="44">
        <v>5</v>
      </c>
      <c r="M2178" s="40" t="s">
        <v>556</v>
      </c>
      <c r="N2178" s="40" t="s">
        <v>556</v>
      </c>
      <c r="O2178" s="40" t="s">
        <v>556</v>
      </c>
      <c r="P2178" s="40" t="s">
        <v>556</v>
      </c>
      <c r="Q2178" s="54" t="s">
        <v>649</v>
      </c>
      <c r="R2178" s="54">
        <v>3</v>
      </c>
      <c r="S2178" s="59" t="s">
        <v>1310</v>
      </c>
      <c r="T2178" s="56"/>
      <c r="U2178" s="56"/>
      <c r="V2178" s="56"/>
      <c r="W2178" s="56"/>
      <c r="X2178" s="56"/>
      <c r="Y2178" s="56"/>
      <c r="Z2178" s="56"/>
      <c r="AA2178" s="56"/>
      <c r="AB2178" s="56"/>
      <c r="AC2178" s="56"/>
      <c r="AD2178" s="56"/>
      <c r="AE2178" s="56"/>
      <c r="AF2178" s="56"/>
      <c r="AG2178" s="56"/>
      <c r="AH2178" s="56"/>
      <c r="AI2178" s="56"/>
      <c r="AJ2178" s="56"/>
      <c r="AK2178" s="56"/>
      <c r="AL2178" s="56"/>
      <c r="AM2178" s="56"/>
      <c r="AN2178" s="56"/>
      <c r="AO2178" s="56"/>
      <c r="AP2178" s="56"/>
      <c r="AQ2178" s="56"/>
      <c r="AR2178" s="56"/>
      <c r="AS2178" s="56"/>
      <c r="AT2178" s="56"/>
      <c r="AU2178" s="56"/>
      <c r="AV2178" s="56"/>
      <c r="AW2178" s="56"/>
      <c r="AX2178" s="56"/>
      <c r="AY2178" s="56"/>
      <c r="AZ2178" s="56"/>
      <c r="BA2178" s="56"/>
      <c r="BB2178" s="56"/>
      <c r="BC2178" s="56"/>
      <c r="BD2178" s="56"/>
      <c r="BE2178" s="56"/>
      <c r="BF2178" s="56"/>
      <c r="BG2178" s="56"/>
      <c r="BH2178" s="56"/>
      <c r="BI2178" s="56"/>
      <c r="BJ2178" s="56"/>
      <c r="BK2178" s="56"/>
      <c r="BL2178" s="56"/>
      <c r="BM2178" s="56"/>
      <c r="BN2178" s="56"/>
      <c r="BO2178" s="56"/>
      <c r="BP2178" s="56"/>
      <c r="BQ2178" s="56"/>
      <c r="BR2178" s="56"/>
      <c r="BS2178" s="56"/>
      <c r="BT2178" s="56"/>
      <c r="BU2178" s="56"/>
      <c r="BV2178" s="56"/>
      <c r="BW2178" s="56"/>
      <c r="BX2178" s="56"/>
      <c r="BY2178" s="56"/>
      <c r="BZ2178" s="56"/>
      <c r="CA2178" s="56"/>
      <c r="CB2178" s="56"/>
      <c r="CC2178" s="56"/>
      <c r="CD2178" s="56"/>
      <c r="CE2178" s="56"/>
      <c r="CF2178" s="56"/>
      <c r="CG2178" s="56"/>
      <c r="CH2178" s="56"/>
      <c r="CI2178" s="56"/>
      <c r="CJ2178" s="56"/>
      <c r="CK2178" s="56"/>
      <c r="CL2178" s="56"/>
      <c r="CM2178" s="56"/>
      <c r="CN2178" s="56"/>
      <c r="CO2178" s="56"/>
      <c r="CP2178" s="56"/>
      <c r="CQ2178" s="56"/>
      <c r="CR2178" s="56"/>
      <c r="CS2178" s="56"/>
      <c r="CT2178" s="56"/>
      <c r="CU2178" s="56"/>
      <c r="CV2178" s="56"/>
      <c r="CW2178" s="56"/>
      <c r="CX2178" s="56"/>
      <c r="CY2178" s="56"/>
      <c r="CZ2178" s="56"/>
      <c r="DA2178" s="56"/>
      <c r="DB2178" s="56"/>
      <c r="DC2178" s="56"/>
      <c r="DD2178" s="56"/>
      <c r="DE2178" s="56"/>
      <c r="DF2178" s="56"/>
      <c r="DG2178" s="56"/>
      <c r="DH2178" s="56"/>
      <c r="DI2178" s="56"/>
      <c r="DJ2178" s="56"/>
      <c r="DK2178" s="56"/>
      <c r="DL2178" s="56"/>
      <c r="DM2178" s="56"/>
      <c r="DN2178" s="56"/>
      <c r="DO2178" s="56"/>
      <c r="DP2178" s="56"/>
      <c r="DQ2178" s="56"/>
      <c r="DR2178" s="56"/>
      <c r="DS2178" s="56"/>
      <c r="DT2178" s="56"/>
      <c r="DU2178" s="56"/>
      <c r="DV2178" s="56"/>
      <c r="DW2178" s="56"/>
      <c r="DX2178" s="56"/>
      <c r="DY2178" s="56"/>
      <c r="DZ2178" s="56"/>
      <c r="EA2178" s="56"/>
      <c r="EB2178" s="56"/>
      <c r="EC2178" s="56"/>
      <c r="ED2178" s="56"/>
      <c r="EE2178" s="56"/>
      <c r="EF2178" s="56"/>
      <c r="EG2178" s="56"/>
      <c r="EH2178" s="56"/>
      <c r="EI2178" s="56"/>
      <c r="EJ2178" s="56"/>
      <c r="EK2178" s="56"/>
      <c r="EL2178" s="56"/>
      <c r="EM2178" s="56"/>
      <c r="EN2178" s="56"/>
      <c r="EO2178" s="56"/>
      <c r="EP2178" s="56"/>
      <c r="EQ2178" s="56"/>
      <c r="ER2178" s="56"/>
      <c r="ES2178" s="56"/>
      <c r="ET2178" s="56"/>
      <c r="EU2178" s="56"/>
      <c r="EV2178" s="56"/>
      <c r="EW2178" s="56"/>
      <c r="EX2178" s="56"/>
      <c r="EY2178" s="56"/>
      <c r="EZ2178" s="56"/>
      <c r="FA2178" s="56"/>
      <c r="FB2178" s="56"/>
      <c r="FC2178" s="56"/>
      <c r="FD2178" s="56"/>
      <c r="FE2178" s="56"/>
      <c r="FF2178" s="56"/>
      <c r="FG2178" s="56"/>
      <c r="FH2178" s="56"/>
      <c r="FI2178" s="56"/>
      <c r="FJ2178" s="56"/>
      <c r="FK2178" s="56"/>
      <c r="FL2178" s="56"/>
      <c r="FM2178" s="56"/>
      <c r="FN2178" s="56"/>
      <c r="FO2178" s="56"/>
      <c r="FP2178" s="56"/>
      <c r="FQ2178" s="56"/>
      <c r="FR2178" s="56"/>
      <c r="FS2178" s="56"/>
      <c r="FT2178" s="56"/>
      <c r="FU2178" s="56"/>
      <c r="FV2178" s="56"/>
      <c r="FW2178" s="56"/>
      <c r="FX2178" s="56"/>
      <c r="FY2178" s="56"/>
      <c r="FZ2178" s="56"/>
      <c r="GA2178" s="56"/>
      <c r="GB2178" s="56"/>
      <c r="GC2178" s="56"/>
      <c r="GD2178" s="56"/>
      <c r="GE2178" s="56"/>
      <c r="GF2178" s="56"/>
    </row>
    <row r="2179" spans="1:57" s="43" customFormat="1" ht="17.25" customHeight="1">
      <c r="A2179" s="13"/>
      <c r="B2179" s="93" t="s">
        <v>669</v>
      </c>
      <c r="C2179" s="15"/>
      <c r="D2179" s="40"/>
      <c r="E2179" s="40"/>
      <c r="F2179" s="40"/>
      <c r="G2179" s="40"/>
      <c r="H2179" s="40"/>
      <c r="I2179" s="40"/>
      <c r="J2179" s="40"/>
      <c r="K2179" s="40"/>
      <c r="L2179" s="60">
        <f>SUM(L2180:L2181)</f>
        <v>2</v>
      </c>
      <c r="M2179" s="40" t="s">
        <v>556</v>
      </c>
      <c r="N2179" s="40" t="s">
        <v>556</v>
      </c>
      <c r="O2179" s="40" t="s">
        <v>556</v>
      </c>
      <c r="P2179" s="40" t="s">
        <v>556</v>
      </c>
      <c r="Q2179" s="70"/>
      <c r="R2179" s="41"/>
      <c r="S2179" s="41"/>
      <c r="T2179" s="46"/>
      <c r="U2179" s="46"/>
      <c r="V2179" s="46"/>
      <c r="W2179" s="46"/>
      <c r="X2179" s="46"/>
      <c r="Y2179" s="46"/>
      <c r="Z2179" s="46"/>
      <c r="AA2179" s="46"/>
      <c r="AB2179" s="46"/>
      <c r="AC2179" s="46"/>
      <c r="AD2179" s="46"/>
      <c r="AE2179" s="46"/>
      <c r="AF2179" s="46"/>
      <c r="AG2179" s="46"/>
      <c r="AH2179" s="46"/>
      <c r="AI2179" s="46"/>
      <c r="AJ2179" s="46"/>
      <c r="AK2179" s="46"/>
      <c r="AL2179" s="46"/>
      <c r="AM2179" s="46"/>
      <c r="AN2179" s="46"/>
      <c r="AO2179" s="46"/>
      <c r="AP2179" s="46"/>
      <c r="AQ2179" s="46"/>
      <c r="AR2179" s="46"/>
      <c r="AS2179" s="46"/>
      <c r="AT2179" s="46"/>
      <c r="AU2179" s="46"/>
      <c r="AV2179" s="46"/>
      <c r="BA2179" s="49"/>
      <c r="BB2179" s="42"/>
      <c r="BC2179" s="42"/>
      <c r="BD2179" s="42"/>
      <c r="BE2179" s="42"/>
    </row>
    <row r="2180" spans="1:57" s="43" customFormat="1" ht="17.25" customHeight="1">
      <c r="A2180" s="12"/>
      <c r="B2180" s="97" t="s">
        <v>558</v>
      </c>
      <c r="C2180" s="15" t="s">
        <v>452</v>
      </c>
      <c r="D2180" s="40"/>
      <c r="E2180" s="40"/>
      <c r="F2180" s="40"/>
      <c r="G2180" s="40"/>
      <c r="H2180" s="40"/>
      <c r="I2180" s="40"/>
      <c r="J2180" s="40"/>
      <c r="K2180" s="40"/>
      <c r="L2180" s="40">
        <v>1</v>
      </c>
      <c r="M2180" s="40" t="s">
        <v>556</v>
      </c>
      <c r="N2180" s="40" t="s">
        <v>556</v>
      </c>
      <c r="O2180" s="40" t="s">
        <v>556</v>
      </c>
      <c r="P2180" s="40" t="s">
        <v>556</v>
      </c>
      <c r="Q2180" s="102"/>
      <c r="R2180" s="101"/>
      <c r="S2180" s="101"/>
      <c r="T2180" s="46"/>
      <c r="U2180" s="46"/>
      <c r="V2180" s="46"/>
      <c r="W2180" s="46"/>
      <c r="X2180" s="46"/>
      <c r="Y2180" s="46"/>
      <c r="Z2180" s="46"/>
      <c r="AA2180" s="46"/>
      <c r="AB2180" s="46"/>
      <c r="AC2180" s="46"/>
      <c r="AD2180" s="46"/>
      <c r="AE2180" s="46"/>
      <c r="AF2180" s="46"/>
      <c r="AG2180" s="46"/>
      <c r="AH2180" s="46"/>
      <c r="AI2180" s="46"/>
      <c r="AJ2180" s="46"/>
      <c r="AK2180" s="46"/>
      <c r="AL2180" s="46"/>
      <c r="AM2180" s="46"/>
      <c r="AN2180" s="46"/>
      <c r="AO2180" s="46"/>
      <c r="AP2180" s="46"/>
      <c r="AQ2180" s="46"/>
      <c r="AR2180" s="46"/>
      <c r="AS2180" s="46"/>
      <c r="AT2180" s="46"/>
      <c r="AU2180" s="46"/>
      <c r="AV2180" s="46"/>
      <c r="BA2180" s="49"/>
      <c r="BB2180" s="42"/>
      <c r="BC2180" s="42"/>
      <c r="BD2180" s="42"/>
      <c r="BE2180" s="42"/>
    </row>
    <row r="2181" spans="1:57" s="43" customFormat="1" ht="17.25" customHeight="1">
      <c r="A2181" s="12"/>
      <c r="B2181" s="97" t="s">
        <v>568</v>
      </c>
      <c r="C2181" s="29" t="s">
        <v>569</v>
      </c>
      <c r="D2181" s="40"/>
      <c r="E2181" s="40"/>
      <c r="F2181" s="40"/>
      <c r="G2181" s="40"/>
      <c r="H2181" s="40"/>
      <c r="I2181" s="40"/>
      <c r="J2181" s="40"/>
      <c r="K2181" s="40"/>
      <c r="L2181" s="40">
        <v>1</v>
      </c>
      <c r="M2181" s="40" t="s">
        <v>556</v>
      </c>
      <c r="N2181" s="40" t="s">
        <v>556</v>
      </c>
      <c r="O2181" s="40" t="s">
        <v>556</v>
      </c>
      <c r="P2181" s="40" t="s">
        <v>556</v>
      </c>
      <c r="Q2181" s="102"/>
      <c r="R2181" s="101"/>
      <c r="S2181" s="101"/>
      <c r="T2181" s="46"/>
      <c r="U2181" s="46"/>
      <c r="V2181" s="46"/>
      <c r="W2181" s="46"/>
      <c r="X2181" s="46"/>
      <c r="Y2181" s="46"/>
      <c r="Z2181" s="46"/>
      <c r="AA2181" s="46"/>
      <c r="AB2181" s="46"/>
      <c r="AC2181" s="46"/>
      <c r="AD2181" s="46"/>
      <c r="AE2181" s="46"/>
      <c r="AF2181" s="46"/>
      <c r="AG2181" s="46"/>
      <c r="AH2181" s="46"/>
      <c r="AI2181" s="46"/>
      <c r="AJ2181" s="46"/>
      <c r="AK2181" s="46"/>
      <c r="AL2181" s="46"/>
      <c r="AM2181" s="46"/>
      <c r="AN2181" s="46"/>
      <c r="AO2181" s="46"/>
      <c r="AP2181" s="46"/>
      <c r="AQ2181" s="46"/>
      <c r="AR2181" s="46"/>
      <c r="AS2181" s="46"/>
      <c r="AT2181" s="46"/>
      <c r="AU2181" s="46"/>
      <c r="AV2181" s="46"/>
      <c r="BA2181" s="49"/>
      <c r="BB2181" s="42"/>
      <c r="BC2181" s="42"/>
      <c r="BD2181" s="42"/>
      <c r="BE2181" s="42"/>
    </row>
    <row r="2182" spans="1:48" s="43" customFormat="1" ht="17.25" customHeight="1">
      <c r="A2182" s="13"/>
      <c r="B2182" s="93" t="s">
        <v>37</v>
      </c>
      <c r="C2182" s="29"/>
      <c r="D2182" s="40"/>
      <c r="E2182" s="40"/>
      <c r="F2182" s="40"/>
      <c r="G2182" s="40"/>
      <c r="H2182" s="40"/>
      <c r="I2182" s="40"/>
      <c r="J2182" s="40"/>
      <c r="K2182" s="40"/>
      <c r="L2182" s="60">
        <v>3</v>
      </c>
      <c r="M2182" s="40" t="s">
        <v>556</v>
      </c>
      <c r="N2182" s="40" t="s">
        <v>556</v>
      </c>
      <c r="O2182" s="40" t="s">
        <v>556</v>
      </c>
      <c r="P2182" s="40" t="s">
        <v>556</v>
      </c>
      <c r="Q2182" s="70"/>
      <c r="R2182" s="70"/>
      <c r="S2182" s="70"/>
      <c r="T2182" s="46"/>
      <c r="U2182" s="46"/>
      <c r="V2182" s="46"/>
      <c r="W2182" s="46"/>
      <c r="X2182" s="46"/>
      <c r="Y2182" s="46"/>
      <c r="Z2182" s="46"/>
      <c r="AA2182" s="46"/>
      <c r="AB2182" s="46"/>
      <c r="AC2182" s="46"/>
      <c r="AD2182" s="46"/>
      <c r="AE2182" s="46"/>
      <c r="AF2182" s="46"/>
      <c r="AG2182" s="46"/>
      <c r="AH2182" s="46"/>
      <c r="AI2182" s="46"/>
      <c r="AJ2182" s="46"/>
      <c r="AK2182" s="46"/>
      <c r="AL2182" s="46"/>
      <c r="AM2182" s="46"/>
      <c r="AN2182" s="46"/>
      <c r="AO2182" s="46"/>
      <c r="AP2182" s="46"/>
      <c r="AQ2182" s="46"/>
      <c r="AR2182" s="46"/>
      <c r="AS2182" s="46"/>
      <c r="AT2182" s="46"/>
      <c r="AU2182" s="46"/>
      <c r="AV2182" s="46"/>
    </row>
    <row r="2183" spans="1:57" s="43" customFormat="1" ht="17.25" customHeight="1">
      <c r="A2183" s="12"/>
      <c r="B2183" s="106" t="s">
        <v>1045</v>
      </c>
      <c r="C2183" s="66" t="s">
        <v>1046</v>
      </c>
      <c r="D2183" s="40"/>
      <c r="E2183" s="40"/>
      <c r="F2183" s="40"/>
      <c r="G2183" s="40"/>
      <c r="H2183" s="40"/>
      <c r="I2183" s="40"/>
      <c r="J2183" s="40"/>
      <c r="K2183" s="40"/>
      <c r="L2183" s="40">
        <v>1</v>
      </c>
      <c r="M2183" s="40" t="s">
        <v>556</v>
      </c>
      <c r="N2183" s="40" t="s">
        <v>556</v>
      </c>
      <c r="O2183" s="40" t="s">
        <v>556</v>
      </c>
      <c r="P2183" s="40" t="s">
        <v>556</v>
      </c>
      <c r="Q2183" s="70"/>
      <c r="R2183" s="41"/>
      <c r="S2183" s="41"/>
      <c r="T2183" s="46"/>
      <c r="U2183" s="46"/>
      <c r="V2183" s="46"/>
      <c r="W2183" s="46"/>
      <c r="X2183" s="46"/>
      <c r="Y2183" s="46"/>
      <c r="Z2183" s="46"/>
      <c r="AA2183" s="46"/>
      <c r="AB2183" s="46"/>
      <c r="AC2183" s="46"/>
      <c r="AD2183" s="46"/>
      <c r="AE2183" s="46"/>
      <c r="AF2183" s="46"/>
      <c r="AG2183" s="46"/>
      <c r="AH2183" s="46"/>
      <c r="AI2183" s="46"/>
      <c r="AJ2183" s="46"/>
      <c r="AK2183" s="46"/>
      <c r="AL2183" s="46"/>
      <c r="AM2183" s="46"/>
      <c r="AN2183" s="46"/>
      <c r="AO2183" s="46"/>
      <c r="AP2183" s="46"/>
      <c r="AQ2183" s="46"/>
      <c r="AR2183" s="46"/>
      <c r="AS2183" s="46"/>
      <c r="AT2183" s="46"/>
      <c r="AU2183" s="46"/>
      <c r="AV2183" s="46"/>
      <c r="BA2183" s="49"/>
      <c r="BB2183" s="42"/>
      <c r="BC2183" s="42"/>
      <c r="BD2183" s="42"/>
      <c r="BE2183" s="42"/>
    </row>
    <row r="2184" spans="1:48" s="43" customFormat="1" ht="17.25" customHeight="1">
      <c r="A2184" s="12"/>
      <c r="B2184" s="97" t="s">
        <v>637</v>
      </c>
      <c r="C2184" s="15" t="s">
        <v>638</v>
      </c>
      <c r="D2184" s="40"/>
      <c r="E2184" s="40"/>
      <c r="F2184" s="40"/>
      <c r="G2184" s="40"/>
      <c r="H2184" s="40"/>
      <c r="I2184" s="40"/>
      <c r="J2184" s="40"/>
      <c r="K2184" s="40"/>
      <c r="L2184" s="40">
        <v>1</v>
      </c>
      <c r="M2184" s="40" t="s">
        <v>556</v>
      </c>
      <c r="N2184" s="40" t="s">
        <v>556</v>
      </c>
      <c r="O2184" s="40" t="s">
        <v>556</v>
      </c>
      <c r="P2184" s="40" t="s">
        <v>556</v>
      </c>
      <c r="Q2184" s="70"/>
      <c r="R2184" s="70"/>
      <c r="S2184" s="70"/>
      <c r="T2184" s="46"/>
      <c r="U2184" s="46"/>
      <c r="V2184" s="46"/>
      <c r="W2184" s="46"/>
      <c r="X2184" s="46"/>
      <c r="Y2184" s="46"/>
      <c r="Z2184" s="46"/>
      <c r="AA2184" s="46"/>
      <c r="AB2184" s="46"/>
      <c r="AC2184" s="46"/>
      <c r="AD2184" s="46"/>
      <c r="AE2184" s="46"/>
      <c r="AF2184" s="46"/>
      <c r="AG2184" s="46"/>
      <c r="AH2184" s="46"/>
      <c r="AI2184" s="46"/>
      <c r="AJ2184" s="46"/>
      <c r="AK2184" s="46"/>
      <c r="AL2184" s="46"/>
      <c r="AM2184" s="46"/>
      <c r="AN2184" s="46"/>
      <c r="AO2184" s="46"/>
      <c r="AP2184" s="46"/>
      <c r="AQ2184" s="46"/>
      <c r="AR2184" s="46"/>
      <c r="AS2184" s="46"/>
      <c r="AT2184" s="46"/>
      <c r="AU2184" s="46"/>
      <c r="AV2184" s="46"/>
    </row>
    <row r="2185" spans="1:48" s="43" customFormat="1" ht="17.25" customHeight="1">
      <c r="A2185" s="12"/>
      <c r="B2185" s="109" t="s">
        <v>71</v>
      </c>
      <c r="C2185" s="66" t="s">
        <v>41</v>
      </c>
      <c r="D2185" s="40"/>
      <c r="E2185" s="40"/>
      <c r="F2185" s="40"/>
      <c r="G2185" s="40"/>
      <c r="H2185" s="40"/>
      <c r="I2185" s="40"/>
      <c r="J2185" s="40"/>
      <c r="K2185" s="40"/>
      <c r="L2185" s="40">
        <v>1</v>
      </c>
      <c r="M2185" s="40" t="s">
        <v>556</v>
      </c>
      <c r="N2185" s="40" t="s">
        <v>556</v>
      </c>
      <c r="O2185" s="40" t="s">
        <v>556</v>
      </c>
      <c r="P2185" s="40" t="s">
        <v>556</v>
      </c>
      <c r="Q2185" s="70"/>
      <c r="R2185" s="70"/>
      <c r="S2185" s="70"/>
      <c r="T2185" s="46"/>
      <c r="U2185" s="46"/>
      <c r="V2185" s="46"/>
      <c r="W2185" s="46"/>
      <c r="X2185" s="46"/>
      <c r="Y2185" s="46"/>
      <c r="Z2185" s="46"/>
      <c r="AA2185" s="46"/>
      <c r="AB2185" s="46"/>
      <c r="AC2185" s="46"/>
      <c r="AD2185" s="46"/>
      <c r="AE2185" s="46"/>
      <c r="AF2185" s="46"/>
      <c r="AG2185" s="46"/>
      <c r="AH2185" s="46"/>
      <c r="AI2185" s="46"/>
      <c r="AJ2185" s="46"/>
      <c r="AK2185" s="46"/>
      <c r="AL2185" s="46"/>
      <c r="AM2185" s="46"/>
      <c r="AN2185" s="46"/>
      <c r="AO2185" s="46"/>
      <c r="AP2185" s="46"/>
      <c r="AQ2185" s="46"/>
      <c r="AR2185" s="46"/>
      <c r="AS2185" s="46"/>
      <c r="AT2185" s="46"/>
      <c r="AU2185" s="46"/>
      <c r="AV2185" s="46"/>
    </row>
    <row r="2186" spans="1:188" s="57" customFormat="1" ht="15.75" customHeight="1">
      <c r="A2186" s="13">
        <v>12</v>
      </c>
      <c r="B2186" s="92" t="s">
        <v>507</v>
      </c>
      <c r="C2186" s="45"/>
      <c r="D2186" s="44">
        <v>6</v>
      </c>
      <c r="E2186" s="44" t="s">
        <v>556</v>
      </c>
      <c r="F2186" s="44"/>
      <c r="G2186" s="44">
        <v>10</v>
      </c>
      <c r="H2186" s="44">
        <v>12</v>
      </c>
      <c r="I2186" s="44">
        <v>15</v>
      </c>
      <c r="J2186" s="44">
        <v>15</v>
      </c>
      <c r="K2186" s="44">
        <v>16</v>
      </c>
      <c r="L2186" s="44">
        <v>4</v>
      </c>
      <c r="M2186" s="44">
        <v>2</v>
      </c>
      <c r="N2186" s="44">
        <v>3</v>
      </c>
      <c r="O2186" s="44" t="str">
        <f>O2189</f>
        <v> -</v>
      </c>
      <c r="P2186" s="44" t="str">
        <f>P2189</f>
        <v> -</v>
      </c>
      <c r="Q2186" s="54" t="s">
        <v>649</v>
      </c>
      <c r="R2186" s="54">
        <v>7</v>
      </c>
      <c r="S2186" s="55" t="s">
        <v>590</v>
      </c>
      <c r="T2186" s="56"/>
      <c r="U2186" s="56"/>
      <c r="V2186" s="56"/>
      <c r="W2186" s="56"/>
      <c r="X2186" s="56"/>
      <c r="Y2186" s="56"/>
      <c r="Z2186" s="56"/>
      <c r="AA2186" s="56"/>
      <c r="AB2186" s="56"/>
      <c r="AC2186" s="56"/>
      <c r="AD2186" s="56"/>
      <c r="AE2186" s="56"/>
      <c r="AF2186" s="56"/>
      <c r="AG2186" s="56"/>
      <c r="AH2186" s="56"/>
      <c r="AI2186" s="56"/>
      <c r="AJ2186" s="56"/>
      <c r="AK2186" s="56"/>
      <c r="AL2186" s="56"/>
      <c r="AM2186" s="56"/>
      <c r="AN2186" s="56"/>
      <c r="AO2186" s="56"/>
      <c r="AP2186" s="56"/>
      <c r="AQ2186" s="56"/>
      <c r="AR2186" s="56"/>
      <c r="AS2186" s="56"/>
      <c r="AT2186" s="56"/>
      <c r="AU2186" s="56"/>
      <c r="AV2186" s="56"/>
      <c r="AW2186" s="56"/>
      <c r="AX2186" s="56"/>
      <c r="AY2186" s="56"/>
      <c r="AZ2186" s="56"/>
      <c r="BA2186" s="56"/>
      <c r="BB2186" s="56"/>
      <c r="BC2186" s="56"/>
      <c r="BD2186" s="56"/>
      <c r="BE2186" s="56"/>
      <c r="BF2186" s="56"/>
      <c r="BG2186" s="56"/>
      <c r="BH2186" s="56"/>
      <c r="BI2186" s="56"/>
      <c r="BJ2186" s="56"/>
      <c r="BK2186" s="56"/>
      <c r="BL2186" s="56"/>
      <c r="BM2186" s="56"/>
      <c r="BN2186" s="56"/>
      <c r="BO2186" s="56"/>
      <c r="BP2186" s="56"/>
      <c r="BQ2186" s="56"/>
      <c r="BR2186" s="56"/>
      <c r="BS2186" s="56"/>
      <c r="BT2186" s="56"/>
      <c r="BU2186" s="56"/>
      <c r="BV2186" s="56"/>
      <c r="BW2186" s="56"/>
      <c r="BX2186" s="56"/>
      <c r="BY2186" s="56"/>
      <c r="BZ2186" s="56"/>
      <c r="CA2186" s="56"/>
      <c r="CB2186" s="56"/>
      <c r="CC2186" s="56"/>
      <c r="CD2186" s="56"/>
      <c r="CE2186" s="56"/>
      <c r="CF2186" s="56"/>
      <c r="CG2186" s="56"/>
      <c r="CH2186" s="56"/>
      <c r="CI2186" s="56"/>
      <c r="CJ2186" s="56"/>
      <c r="CK2186" s="56"/>
      <c r="CL2186" s="56"/>
      <c r="CM2186" s="56"/>
      <c r="CN2186" s="56"/>
      <c r="CO2186" s="56"/>
      <c r="CP2186" s="56"/>
      <c r="CQ2186" s="56"/>
      <c r="CR2186" s="56"/>
      <c r="CS2186" s="56"/>
      <c r="CT2186" s="56"/>
      <c r="CU2186" s="56"/>
      <c r="CV2186" s="56"/>
      <c r="CW2186" s="56"/>
      <c r="CX2186" s="56"/>
      <c r="CY2186" s="56"/>
      <c r="CZ2186" s="56"/>
      <c r="DA2186" s="56"/>
      <c r="DB2186" s="56"/>
      <c r="DC2186" s="56"/>
      <c r="DD2186" s="56"/>
      <c r="DE2186" s="56"/>
      <c r="DF2186" s="56"/>
      <c r="DG2186" s="56"/>
      <c r="DH2186" s="56"/>
      <c r="DI2186" s="56"/>
      <c r="DJ2186" s="56"/>
      <c r="DK2186" s="56"/>
      <c r="DL2186" s="56"/>
      <c r="DM2186" s="56"/>
      <c r="DN2186" s="56"/>
      <c r="DO2186" s="56"/>
      <c r="DP2186" s="56"/>
      <c r="DQ2186" s="56"/>
      <c r="DR2186" s="56"/>
      <c r="DS2186" s="56"/>
      <c r="DT2186" s="56"/>
      <c r="DU2186" s="56"/>
      <c r="DV2186" s="56"/>
      <c r="DW2186" s="56"/>
      <c r="DX2186" s="56"/>
      <c r="DY2186" s="56"/>
      <c r="DZ2186" s="56"/>
      <c r="EA2186" s="56"/>
      <c r="EB2186" s="56"/>
      <c r="EC2186" s="56"/>
      <c r="ED2186" s="56"/>
      <c r="EE2186" s="56"/>
      <c r="EF2186" s="56"/>
      <c r="EG2186" s="56"/>
      <c r="EH2186" s="56"/>
      <c r="EI2186" s="56"/>
      <c r="EJ2186" s="56"/>
      <c r="EK2186" s="56"/>
      <c r="EL2186" s="56"/>
      <c r="EM2186" s="56"/>
      <c r="EN2186" s="56"/>
      <c r="EO2186" s="56"/>
      <c r="EP2186" s="56"/>
      <c r="EQ2186" s="56"/>
      <c r="ER2186" s="56"/>
      <c r="ES2186" s="56"/>
      <c r="ET2186" s="56"/>
      <c r="EU2186" s="56"/>
      <c r="EV2186" s="56"/>
      <c r="EW2186" s="56"/>
      <c r="EX2186" s="56"/>
      <c r="EY2186" s="56"/>
      <c r="EZ2186" s="56"/>
      <c r="FA2186" s="56"/>
      <c r="FB2186" s="56"/>
      <c r="FC2186" s="56"/>
      <c r="FD2186" s="56"/>
      <c r="FE2186" s="56"/>
      <c r="FF2186" s="56"/>
      <c r="FG2186" s="56"/>
      <c r="FH2186" s="56"/>
      <c r="FI2186" s="56"/>
      <c r="FJ2186" s="56"/>
      <c r="FK2186" s="56"/>
      <c r="FL2186" s="56"/>
      <c r="FM2186" s="56"/>
      <c r="FN2186" s="56"/>
      <c r="FO2186" s="56"/>
      <c r="FP2186" s="56"/>
      <c r="FQ2186" s="56"/>
      <c r="FR2186" s="56"/>
      <c r="FS2186" s="56"/>
      <c r="FT2186" s="56"/>
      <c r="FU2186" s="56"/>
      <c r="FV2186" s="56"/>
      <c r="FW2186" s="56"/>
      <c r="FX2186" s="56"/>
      <c r="FY2186" s="56"/>
      <c r="FZ2186" s="56"/>
      <c r="GA2186" s="56"/>
      <c r="GB2186" s="56"/>
      <c r="GC2186" s="56"/>
      <c r="GD2186" s="56"/>
      <c r="GE2186" s="56"/>
      <c r="GF2186" s="56"/>
    </row>
    <row r="2187" spans="1:48" s="18" customFormat="1" ht="15.75" customHeight="1">
      <c r="A2187" s="50"/>
      <c r="B2187" s="93" t="s">
        <v>669</v>
      </c>
      <c r="C2187" s="16"/>
      <c r="D2187" s="52"/>
      <c r="E2187" s="52"/>
      <c r="F2187" s="52"/>
      <c r="G2187" s="52"/>
      <c r="H2187" s="52"/>
      <c r="I2187" s="52"/>
      <c r="J2187" s="52"/>
      <c r="K2187" s="52"/>
      <c r="L2187" s="60">
        <f>L2188</f>
        <v>2</v>
      </c>
      <c r="M2187" s="60" t="str">
        <f>M2188</f>
        <v> -</v>
      </c>
      <c r="N2187" s="60">
        <f>N2188</f>
        <v>2</v>
      </c>
      <c r="O2187" s="60" t="str">
        <f>O2188</f>
        <v> -</v>
      </c>
      <c r="P2187" s="60" t="str">
        <f>P2188</f>
        <v> -</v>
      </c>
      <c r="Q2187" s="23"/>
      <c r="R2187" s="23"/>
      <c r="S2187" s="17"/>
      <c r="T2187" s="47"/>
      <c r="U2187" s="47"/>
      <c r="V2187" s="47"/>
      <c r="W2187" s="47"/>
      <c r="X2187" s="47"/>
      <c r="Y2187" s="47"/>
      <c r="Z2187" s="47"/>
      <c r="AA2187" s="47"/>
      <c r="AB2187" s="47"/>
      <c r="AC2187" s="47"/>
      <c r="AD2187" s="47"/>
      <c r="AE2187" s="47"/>
      <c r="AF2187" s="47"/>
      <c r="AG2187" s="47"/>
      <c r="AH2187" s="47"/>
      <c r="AI2187" s="47"/>
      <c r="AJ2187" s="47"/>
      <c r="AK2187" s="47"/>
      <c r="AL2187" s="47"/>
      <c r="AM2187" s="47"/>
      <c r="AN2187" s="47"/>
      <c r="AO2187" s="47"/>
      <c r="AP2187" s="47"/>
      <c r="AQ2187" s="47"/>
      <c r="AR2187" s="47"/>
      <c r="AS2187" s="47"/>
      <c r="AT2187" s="47"/>
      <c r="AU2187" s="47"/>
      <c r="AV2187" s="47"/>
    </row>
    <row r="2188" spans="1:48" s="18" customFormat="1" ht="15.75" customHeight="1">
      <c r="A2188" s="50"/>
      <c r="B2188" s="97" t="s">
        <v>930</v>
      </c>
      <c r="C2188" s="29" t="s">
        <v>931</v>
      </c>
      <c r="D2188" s="51"/>
      <c r="E2188" s="51"/>
      <c r="F2188" s="51"/>
      <c r="G2188" s="51"/>
      <c r="H2188" s="51"/>
      <c r="I2188" s="51"/>
      <c r="J2188" s="51"/>
      <c r="K2188" s="51"/>
      <c r="L2188" s="40">
        <v>2</v>
      </c>
      <c r="M2188" s="40" t="s">
        <v>556</v>
      </c>
      <c r="N2188" s="40">
        <v>2</v>
      </c>
      <c r="O2188" s="40" t="s">
        <v>556</v>
      </c>
      <c r="P2188" s="40" t="s">
        <v>556</v>
      </c>
      <c r="Q2188" s="77"/>
      <c r="R2188" s="77"/>
      <c r="S2188" s="78"/>
      <c r="T2188" s="47"/>
      <c r="U2188" s="47"/>
      <c r="V2188" s="47"/>
      <c r="W2188" s="47"/>
      <c r="X2188" s="47"/>
      <c r="Y2188" s="47"/>
      <c r="Z2188" s="47"/>
      <c r="AA2188" s="47"/>
      <c r="AB2188" s="47"/>
      <c r="AC2188" s="47"/>
      <c r="AD2188" s="47"/>
      <c r="AE2188" s="47"/>
      <c r="AF2188" s="47"/>
      <c r="AG2188" s="47"/>
      <c r="AH2188" s="47"/>
      <c r="AI2188" s="47"/>
      <c r="AJ2188" s="47"/>
      <c r="AK2188" s="47"/>
      <c r="AL2188" s="47"/>
      <c r="AM2188" s="47"/>
      <c r="AN2188" s="47"/>
      <c r="AO2188" s="47"/>
      <c r="AP2188" s="47"/>
      <c r="AQ2188" s="47"/>
      <c r="AR2188" s="47"/>
      <c r="AS2188" s="47"/>
      <c r="AT2188" s="47"/>
      <c r="AU2188" s="47"/>
      <c r="AV2188" s="47"/>
    </row>
    <row r="2189" spans="1:48" s="18" customFormat="1" ht="15.75" customHeight="1">
      <c r="A2189" s="50"/>
      <c r="B2189" s="93" t="s">
        <v>37</v>
      </c>
      <c r="C2189" s="16"/>
      <c r="D2189" s="51"/>
      <c r="E2189" s="51"/>
      <c r="F2189" s="51"/>
      <c r="G2189" s="51"/>
      <c r="H2189" s="51"/>
      <c r="I2189" s="51"/>
      <c r="J2189" s="51"/>
      <c r="K2189" s="51"/>
      <c r="L2189" s="60">
        <v>2</v>
      </c>
      <c r="M2189" s="60">
        <v>2</v>
      </c>
      <c r="N2189" s="60">
        <v>1</v>
      </c>
      <c r="O2189" s="60" t="str">
        <f>O2190</f>
        <v> -</v>
      </c>
      <c r="P2189" s="60" t="str">
        <f>P2190</f>
        <v> -</v>
      </c>
      <c r="Q2189" s="23"/>
      <c r="R2189" s="23"/>
      <c r="S2189" s="17"/>
      <c r="T2189" s="47"/>
      <c r="U2189" s="47"/>
      <c r="V2189" s="47"/>
      <c r="W2189" s="47"/>
      <c r="X2189" s="47"/>
      <c r="Y2189" s="47"/>
      <c r="Z2189" s="47"/>
      <c r="AA2189" s="47"/>
      <c r="AB2189" s="47"/>
      <c r="AC2189" s="47"/>
      <c r="AD2189" s="47"/>
      <c r="AE2189" s="47"/>
      <c r="AF2189" s="47"/>
      <c r="AG2189" s="47"/>
      <c r="AH2189" s="47"/>
      <c r="AI2189" s="47"/>
      <c r="AJ2189" s="47"/>
      <c r="AK2189" s="47"/>
      <c r="AL2189" s="47"/>
      <c r="AM2189" s="47"/>
      <c r="AN2189" s="47"/>
      <c r="AO2189" s="47"/>
      <c r="AP2189" s="47"/>
      <c r="AQ2189" s="47"/>
      <c r="AR2189" s="47"/>
      <c r="AS2189" s="47"/>
      <c r="AT2189" s="47"/>
      <c r="AU2189" s="47"/>
      <c r="AV2189" s="47"/>
    </row>
    <row r="2190" spans="1:48" s="18" customFormat="1" ht="15.75" customHeight="1">
      <c r="A2190" s="50"/>
      <c r="B2190" s="117" t="s">
        <v>71</v>
      </c>
      <c r="C2190" s="64" t="s">
        <v>41</v>
      </c>
      <c r="D2190" s="51"/>
      <c r="E2190" s="51"/>
      <c r="F2190" s="51">
        <v>3</v>
      </c>
      <c r="G2190" s="51">
        <v>3</v>
      </c>
      <c r="H2190" s="51">
        <v>4</v>
      </c>
      <c r="I2190" s="51">
        <v>5</v>
      </c>
      <c r="J2190" s="51">
        <v>5</v>
      </c>
      <c r="K2190" s="51">
        <v>5</v>
      </c>
      <c r="L2190" s="40">
        <v>1</v>
      </c>
      <c r="M2190" s="40">
        <v>1</v>
      </c>
      <c r="N2190" s="40">
        <v>1</v>
      </c>
      <c r="O2190" s="40" t="s">
        <v>556</v>
      </c>
      <c r="P2190" s="40" t="s">
        <v>556</v>
      </c>
      <c r="Q2190" s="77"/>
      <c r="R2190" s="77"/>
      <c r="S2190" s="78"/>
      <c r="T2190" s="47"/>
      <c r="U2190" s="47"/>
      <c r="V2190" s="47"/>
      <c r="W2190" s="47"/>
      <c r="X2190" s="47"/>
      <c r="Y2190" s="47"/>
      <c r="Z2190" s="47"/>
      <c r="AA2190" s="47"/>
      <c r="AB2190" s="47"/>
      <c r="AC2190" s="47"/>
      <c r="AD2190" s="47"/>
      <c r="AE2190" s="47"/>
      <c r="AF2190" s="47"/>
      <c r="AG2190" s="47"/>
      <c r="AH2190" s="47"/>
      <c r="AI2190" s="47"/>
      <c r="AJ2190" s="47"/>
      <c r="AK2190" s="47"/>
      <c r="AL2190" s="47"/>
      <c r="AM2190" s="47"/>
      <c r="AN2190" s="47"/>
      <c r="AO2190" s="47"/>
      <c r="AP2190" s="47"/>
      <c r="AQ2190" s="47"/>
      <c r="AR2190" s="47"/>
      <c r="AS2190" s="47"/>
      <c r="AT2190" s="47"/>
      <c r="AU2190" s="47"/>
      <c r="AV2190" s="47"/>
    </row>
    <row r="2191" spans="1:48" s="18" customFormat="1" ht="15.75" customHeight="1">
      <c r="A2191" s="50"/>
      <c r="B2191" s="97" t="s">
        <v>637</v>
      </c>
      <c r="C2191" s="15" t="s">
        <v>638</v>
      </c>
      <c r="D2191" s="51"/>
      <c r="E2191" s="51"/>
      <c r="F2191" s="51"/>
      <c r="G2191" s="51">
        <v>1</v>
      </c>
      <c r="H2191" s="51">
        <v>2</v>
      </c>
      <c r="I2191" s="51">
        <v>2</v>
      </c>
      <c r="J2191" s="51">
        <v>2</v>
      </c>
      <c r="K2191" s="51">
        <v>3</v>
      </c>
      <c r="L2191" s="40">
        <v>1</v>
      </c>
      <c r="M2191" s="40">
        <v>1</v>
      </c>
      <c r="N2191" s="40" t="s">
        <v>556</v>
      </c>
      <c r="O2191" s="40" t="s">
        <v>556</v>
      </c>
      <c r="P2191" s="40" t="s">
        <v>556</v>
      </c>
      <c r="Q2191" s="77"/>
      <c r="R2191" s="77"/>
      <c r="S2191" s="78"/>
      <c r="T2191" s="47"/>
      <c r="U2191" s="47"/>
      <c r="V2191" s="47"/>
      <c r="W2191" s="47"/>
      <c r="X2191" s="47"/>
      <c r="Y2191" s="47"/>
      <c r="Z2191" s="47"/>
      <c r="AA2191" s="47"/>
      <c r="AB2191" s="47"/>
      <c r="AC2191" s="47"/>
      <c r="AD2191" s="47"/>
      <c r="AE2191" s="47"/>
      <c r="AF2191" s="47"/>
      <c r="AG2191" s="47"/>
      <c r="AH2191" s="47"/>
      <c r="AI2191" s="47"/>
      <c r="AJ2191" s="47"/>
      <c r="AK2191" s="47"/>
      <c r="AL2191" s="47"/>
      <c r="AM2191" s="47"/>
      <c r="AN2191" s="47"/>
      <c r="AO2191" s="47"/>
      <c r="AP2191" s="47"/>
      <c r="AQ2191" s="47"/>
      <c r="AR2191" s="47"/>
      <c r="AS2191" s="47"/>
      <c r="AT2191" s="47"/>
      <c r="AU2191" s="47"/>
      <c r="AV2191" s="47"/>
    </row>
    <row r="2192" spans="1:188" s="57" customFormat="1" ht="15.75" customHeight="1">
      <c r="A2192" s="13">
        <v>13</v>
      </c>
      <c r="B2192" s="92" t="s">
        <v>945</v>
      </c>
      <c r="C2192" s="45"/>
      <c r="D2192" s="44">
        <v>22</v>
      </c>
      <c r="E2192" s="44" t="s">
        <v>556</v>
      </c>
      <c r="F2192" s="44"/>
      <c r="G2192" s="44">
        <v>10</v>
      </c>
      <c r="H2192" s="44">
        <v>12</v>
      </c>
      <c r="I2192" s="44">
        <v>15</v>
      </c>
      <c r="J2192" s="44">
        <v>15</v>
      </c>
      <c r="K2192" s="44">
        <v>16</v>
      </c>
      <c r="L2192" s="44">
        <f>SUM(L2193,L2196,L2198)</f>
        <v>5</v>
      </c>
      <c r="M2192" s="44">
        <f>SUM(M2193,M2196,M2198)</f>
        <v>4</v>
      </c>
      <c r="N2192" s="44">
        <f>SUM(N2193,N2196,N2198)</f>
        <v>7</v>
      </c>
      <c r="O2192" s="44">
        <f>SUM(O2193,O2196,O2198)</f>
        <v>5</v>
      </c>
      <c r="P2192" s="44">
        <f>SUM(P2193,P2196,P2198)</f>
        <v>4</v>
      </c>
      <c r="Q2192" s="54" t="s">
        <v>649</v>
      </c>
      <c r="R2192" s="54">
        <v>7</v>
      </c>
      <c r="S2192" s="55" t="s">
        <v>590</v>
      </c>
      <c r="T2192" s="56"/>
      <c r="U2192" s="56"/>
      <c r="V2192" s="56"/>
      <c r="W2192" s="56"/>
      <c r="X2192" s="56"/>
      <c r="Y2192" s="56"/>
      <c r="Z2192" s="56"/>
      <c r="AA2192" s="56"/>
      <c r="AB2192" s="56"/>
      <c r="AC2192" s="56"/>
      <c r="AD2192" s="56"/>
      <c r="AE2192" s="56"/>
      <c r="AF2192" s="56"/>
      <c r="AG2192" s="56"/>
      <c r="AH2192" s="56"/>
      <c r="AI2192" s="56"/>
      <c r="AJ2192" s="56"/>
      <c r="AK2192" s="56"/>
      <c r="AL2192" s="56"/>
      <c r="AM2192" s="56"/>
      <c r="AN2192" s="56"/>
      <c r="AO2192" s="56"/>
      <c r="AP2192" s="56"/>
      <c r="AQ2192" s="56"/>
      <c r="AR2192" s="56"/>
      <c r="AS2192" s="56"/>
      <c r="AT2192" s="56"/>
      <c r="AU2192" s="56"/>
      <c r="AV2192" s="56"/>
      <c r="AW2192" s="56"/>
      <c r="AX2192" s="56"/>
      <c r="AY2192" s="56"/>
      <c r="AZ2192" s="56"/>
      <c r="BA2192" s="56"/>
      <c r="BB2192" s="56"/>
      <c r="BC2192" s="56"/>
      <c r="BD2192" s="56"/>
      <c r="BE2192" s="56"/>
      <c r="BF2192" s="56"/>
      <c r="BG2192" s="56"/>
      <c r="BH2192" s="56"/>
      <c r="BI2192" s="56"/>
      <c r="BJ2192" s="56"/>
      <c r="BK2192" s="56"/>
      <c r="BL2192" s="56"/>
      <c r="BM2192" s="56"/>
      <c r="BN2192" s="56"/>
      <c r="BO2192" s="56"/>
      <c r="BP2192" s="56"/>
      <c r="BQ2192" s="56"/>
      <c r="BR2192" s="56"/>
      <c r="BS2192" s="56"/>
      <c r="BT2192" s="56"/>
      <c r="BU2192" s="56"/>
      <c r="BV2192" s="56"/>
      <c r="BW2192" s="56"/>
      <c r="BX2192" s="56"/>
      <c r="BY2192" s="56"/>
      <c r="BZ2192" s="56"/>
      <c r="CA2192" s="56"/>
      <c r="CB2192" s="56"/>
      <c r="CC2192" s="56"/>
      <c r="CD2192" s="56"/>
      <c r="CE2192" s="56"/>
      <c r="CF2192" s="56"/>
      <c r="CG2192" s="56"/>
      <c r="CH2192" s="56"/>
      <c r="CI2192" s="56"/>
      <c r="CJ2192" s="56"/>
      <c r="CK2192" s="56"/>
      <c r="CL2192" s="56"/>
      <c r="CM2192" s="56"/>
      <c r="CN2192" s="56"/>
      <c r="CO2192" s="56"/>
      <c r="CP2192" s="56"/>
      <c r="CQ2192" s="56"/>
      <c r="CR2192" s="56"/>
      <c r="CS2192" s="56"/>
      <c r="CT2192" s="56"/>
      <c r="CU2192" s="56"/>
      <c r="CV2192" s="56"/>
      <c r="CW2192" s="56"/>
      <c r="CX2192" s="56"/>
      <c r="CY2192" s="56"/>
      <c r="CZ2192" s="56"/>
      <c r="DA2192" s="56"/>
      <c r="DB2192" s="56"/>
      <c r="DC2192" s="56"/>
      <c r="DD2192" s="56"/>
      <c r="DE2192" s="56"/>
      <c r="DF2192" s="56"/>
      <c r="DG2192" s="56"/>
      <c r="DH2192" s="56"/>
      <c r="DI2192" s="56"/>
      <c r="DJ2192" s="56"/>
      <c r="DK2192" s="56"/>
      <c r="DL2192" s="56"/>
      <c r="DM2192" s="56"/>
      <c r="DN2192" s="56"/>
      <c r="DO2192" s="56"/>
      <c r="DP2192" s="56"/>
      <c r="DQ2192" s="56"/>
      <c r="DR2192" s="56"/>
      <c r="DS2192" s="56"/>
      <c r="DT2192" s="56"/>
      <c r="DU2192" s="56"/>
      <c r="DV2192" s="56"/>
      <c r="DW2192" s="56"/>
      <c r="DX2192" s="56"/>
      <c r="DY2192" s="56"/>
      <c r="DZ2192" s="56"/>
      <c r="EA2192" s="56"/>
      <c r="EB2192" s="56"/>
      <c r="EC2192" s="56"/>
      <c r="ED2192" s="56"/>
      <c r="EE2192" s="56"/>
      <c r="EF2192" s="56"/>
      <c r="EG2192" s="56"/>
      <c r="EH2192" s="56"/>
      <c r="EI2192" s="56"/>
      <c r="EJ2192" s="56"/>
      <c r="EK2192" s="56"/>
      <c r="EL2192" s="56"/>
      <c r="EM2192" s="56"/>
      <c r="EN2192" s="56"/>
      <c r="EO2192" s="56"/>
      <c r="EP2192" s="56"/>
      <c r="EQ2192" s="56"/>
      <c r="ER2192" s="56"/>
      <c r="ES2192" s="56"/>
      <c r="ET2192" s="56"/>
      <c r="EU2192" s="56"/>
      <c r="EV2192" s="56"/>
      <c r="EW2192" s="56"/>
      <c r="EX2192" s="56"/>
      <c r="EY2192" s="56"/>
      <c r="EZ2192" s="56"/>
      <c r="FA2192" s="56"/>
      <c r="FB2192" s="56"/>
      <c r="FC2192" s="56"/>
      <c r="FD2192" s="56"/>
      <c r="FE2192" s="56"/>
      <c r="FF2192" s="56"/>
      <c r="FG2192" s="56"/>
      <c r="FH2192" s="56"/>
      <c r="FI2192" s="56"/>
      <c r="FJ2192" s="56"/>
      <c r="FK2192" s="56"/>
      <c r="FL2192" s="56"/>
      <c r="FM2192" s="56"/>
      <c r="FN2192" s="56"/>
      <c r="FO2192" s="56"/>
      <c r="FP2192" s="56"/>
      <c r="FQ2192" s="56"/>
      <c r="FR2192" s="56"/>
      <c r="FS2192" s="56"/>
      <c r="FT2192" s="56"/>
      <c r="FU2192" s="56"/>
      <c r="FV2192" s="56"/>
      <c r="FW2192" s="56"/>
      <c r="FX2192" s="56"/>
      <c r="FY2192" s="56"/>
      <c r="FZ2192" s="56"/>
      <c r="GA2192" s="56"/>
      <c r="GB2192" s="56"/>
      <c r="GC2192" s="56"/>
      <c r="GD2192" s="56"/>
      <c r="GE2192" s="56"/>
      <c r="GF2192" s="56"/>
    </row>
    <row r="2193" spans="1:48" s="18" customFormat="1" ht="15.75" customHeight="1">
      <c r="A2193" s="50"/>
      <c r="B2193" s="93" t="s">
        <v>669</v>
      </c>
      <c r="C2193" s="16"/>
      <c r="D2193" s="52"/>
      <c r="E2193" s="52"/>
      <c r="F2193" s="52"/>
      <c r="G2193" s="52"/>
      <c r="H2193" s="52"/>
      <c r="I2193" s="52"/>
      <c r="J2193" s="52"/>
      <c r="K2193" s="52"/>
      <c r="L2193" s="60">
        <f>SUM(L2194:L2195)</f>
        <v>4</v>
      </c>
      <c r="M2193" s="60">
        <f>SUM(M2194:M2195)</f>
        <v>4</v>
      </c>
      <c r="N2193" s="60">
        <f>SUM(N2194:N2195)</f>
        <v>6</v>
      </c>
      <c r="O2193" s="60">
        <f>SUM(O2194:O2195)</f>
        <v>4</v>
      </c>
      <c r="P2193" s="60">
        <f>SUM(P2194:P2195)</f>
        <v>4</v>
      </c>
      <c r="Q2193" s="23"/>
      <c r="R2193" s="23"/>
      <c r="S2193" s="17"/>
      <c r="T2193" s="47"/>
      <c r="U2193" s="47"/>
      <c r="V2193" s="47"/>
      <c r="W2193" s="47"/>
      <c r="X2193" s="47"/>
      <c r="Y2193" s="47"/>
      <c r="Z2193" s="47"/>
      <c r="AA2193" s="47"/>
      <c r="AB2193" s="47"/>
      <c r="AC2193" s="47"/>
      <c r="AD2193" s="47"/>
      <c r="AE2193" s="47"/>
      <c r="AF2193" s="47"/>
      <c r="AG2193" s="47"/>
      <c r="AH2193" s="47"/>
      <c r="AI2193" s="47"/>
      <c r="AJ2193" s="47"/>
      <c r="AK2193" s="47"/>
      <c r="AL2193" s="47"/>
      <c r="AM2193" s="47"/>
      <c r="AN2193" s="47"/>
      <c r="AO2193" s="47"/>
      <c r="AP2193" s="47"/>
      <c r="AQ2193" s="47"/>
      <c r="AR2193" s="47"/>
      <c r="AS2193" s="47"/>
      <c r="AT2193" s="47"/>
      <c r="AU2193" s="47"/>
      <c r="AV2193" s="47"/>
    </row>
    <row r="2194" spans="1:48" s="18" customFormat="1" ht="15.75" customHeight="1">
      <c r="A2194" s="50"/>
      <c r="B2194" s="97" t="s">
        <v>555</v>
      </c>
      <c r="C2194" s="29" t="s">
        <v>445</v>
      </c>
      <c r="D2194" s="51"/>
      <c r="E2194" s="51"/>
      <c r="F2194" s="51"/>
      <c r="G2194" s="51"/>
      <c r="H2194" s="51"/>
      <c r="I2194" s="51"/>
      <c r="J2194" s="51"/>
      <c r="K2194" s="51"/>
      <c r="L2194" s="40">
        <v>3</v>
      </c>
      <c r="M2194" s="40">
        <v>2</v>
      </c>
      <c r="N2194" s="40">
        <v>4</v>
      </c>
      <c r="O2194" s="40">
        <v>3</v>
      </c>
      <c r="P2194" s="40">
        <v>1</v>
      </c>
      <c r="Q2194" s="77"/>
      <c r="R2194" s="77"/>
      <c r="S2194" s="78"/>
      <c r="T2194" s="47"/>
      <c r="U2194" s="47"/>
      <c r="V2194" s="47"/>
      <c r="W2194" s="47"/>
      <c r="X2194" s="47"/>
      <c r="Y2194" s="47"/>
      <c r="Z2194" s="47"/>
      <c r="AA2194" s="47"/>
      <c r="AB2194" s="47"/>
      <c r="AC2194" s="47"/>
      <c r="AD2194" s="47"/>
      <c r="AE2194" s="47"/>
      <c r="AF2194" s="47"/>
      <c r="AG2194" s="47"/>
      <c r="AH2194" s="47"/>
      <c r="AI2194" s="47"/>
      <c r="AJ2194" s="47"/>
      <c r="AK2194" s="47"/>
      <c r="AL2194" s="47"/>
      <c r="AM2194" s="47"/>
      <c r="AN2194" s="47"/>
      <c r="AO2194" s="47"/>
      <c r="AP2194" s="47"/>
      <c r="AQ2194" s="47"/>
      <c r="AR2194" s="47"/>
      <c r="AS2194" s="47"/>
      <c r="AT2194" s="47"/>
      <c r="AU2194" s="47"/>
      <c r="AV2194" s="47"/>
    </row>
    <row r="2195" spans="1:48" s="18" customFormat="1" ht="15.75" customHeight="1">
      <c r="A2195" s="50"/>
      <c r="B2195" s="97" t="s">
        <v>458</v>
      </c>
      <c r="C2195" s="29" t="s">
        <v>459</v>
      </c>
      <c r="D2195" s="51"/>
      <c r="E2195" s="51"/>
      <c r="F2195" s="51"/>
      <c r="G2195" s="51"/>
      <c r="H2195" s="51"/>
      <c r="I2195" s="51"/>
      <c r="J2195" s="51"/>
      <c r="K2195" s="51"/>
      <c r="L2195" s="40">
        <v>1</v>
      </c>
      <c r="M2195" s="40">
        <v>2</v>
      </c>
      <c r="N2195" s="40">
        <v>2</v>
      </c>
      <c r="O2195" s="40">
        <v>1</v>
      </c>
      <c r="P2195" s="40">
        <v>3</v>
      </c>
      <c r="Q2195" s="77"/>
      <c r="R2195" s="77"/>
      <c r="S2195" s="78"/>
      <c r="T2195" s="47"/>
      <c r="U2195" s="47"/>
      <c r="V2195" s="47"/>
      <c r="W2195" s="47"/>
      <c r="X2195" s="47"/>
      <c r="Y2195" s="47"/>
      <c r="Z2195" s="47"/>
      <c r="AA2195" s="47"/>
      <c r="AB2195" s="47"/>
      <c r="AC2195" s="47"/>
      <c r="AD2195" s="47"/>
      <c r="AE2195" s="47"/>
      <c r="AF2195" s="47"/>
      <c r="AG2195" s="47"/>
      <c r="AH2195" s="47"/>
      <c r="AI2195" s="47"/>
      <c r="AJ2195" s="47"/>
      <c r="AK2195" s="47"/>
      <c r="AL2195" s="47"/>
      <c r="AM2195" s="47"/>
      <c r="AN2195" s="47"/>
      <c r="AO2195" s="47"/>
      <c r="AP2195" s="47"/>
      <c r="AQ2195" s="47"/>
      <c r="AR2195" s="47"/>
      <c r="AS2195" s="47"/>
      <c r="AT2195" s="47"/>
      <c r="AU2195" s="47"/>
      <c r="AV2195" s="47"/>
    </row>
    <row r="2196" spans="1:48" s="18" customFormat="1" ht="15.75" customHeight="1">
      <c r="A2196" s="50"/>
      <c r="B2196" s="93" t="s">
        <v>670</v>
      </c>
      <c r="C2196" s="16"/>
      <c r="D2196" s="51"/>
      <c r="E2196" s="51"/>
      <c r="F2196" s="51"/>
      <c r="G2196" s="51"/>
      <c r="H2196" s="51"/>
      <c r="I2196" s="51"/>
      <c r="J2196" s="51"/>
      <c r="K2196" s="51"/>
      <c r="L2196" s="60">
        <f>L2197</f>
        <v>1</v>
      </c>
      <c r="M2196" s="60" t="str">
        <f>M2197</f>
        <v> -</v>
      </c>
      <c r="N2196" s="60" t="str">
        <f>N2197</f>
        <v> -</v>
      </c>
      <c r="O2196" s="60">
        <f>O2197</f>
        <v>1</v>
      </c>
      <c r="P2196" s="60" t="str">
        <f>P2197</f>
        <v> -</v>
      </c>
      <c r="Q2196" s="23"/>
      <c r="R2196" s="23"/>
      <c r="S2196" s="17"/>
      <c r="T2196" s="47"/>
      <c r="U2196" s="47"/>
      <c r="V2196" s="47"/>
      <c r="W2196" s="47"/>
      <c r="X2196" s="47"/>
      <c r="Y2196" s="47"/>
      <c r="Z2196" s="47"/>
      <c r="AA2196" s="47"/>
      <c r="AB2196" s="47"/>
      <c r="AC2196" s="47"/>
      <c r="AD2196" s="47"/>
      <c r="AE2196" s="47"/>
      <c r="AF2196" s="47"/>
      <c r="AG2196" s="47"/>
      <c r="AH2196" s="47"/>
      <c r="AI2196" s="47"/>
      <c r="AJ2196" s="47"/>
      <c r="AK2196" s="47"/>
      <c r="AL2196" s="47"/>
      <c r="AM2196" s="47"/>
      <c r="AN2196" s="47"/>
      <c r="AO2196" s="47"/>
      <c r="AP2196" s="47"/>
      <c r="AQ2196" s="47"/>
      <c r="AR2196" s="47"/>
      <c r="AS2196" s="47"/>
      <c r="AT2196" s="47"/>
      <c r="AU2196" s="47"/>
      <c r="AV2196" s="47"/>
    </row>
    <row r="2197" spans="1:48" s="18" customFormat="1" ht="15.75" customHeight="1">
      <c r="A2197" s="50"/>
      <c r="B2197" s="97" t="s">
        <v>403</v>
      </c>
      <c r="C2197" s="15" t="s">
        <v>404</v>
      </c>
      <c r="D2197" s="51"/>
      <c r="E2197" s="51"/>
      <c r="F2197" s="51">
        <v>3</v>
      </c>
      <c r="G2197" s="51">
        <v>9</v>
      </c>
      <c r="H2197" s="51">
        <v>9</v>
      </c>
      <c r="I2197" s="51">
        <v>9</v>
      </c>
      <c r="J2197" s="51">
        <v>9</v>
      </c>
      <c r="K2197" s="51">
        <v>9</v>
      </c>
      <c r="L2197" s="40">
        <v>1</v>
      </c>
      <c r="M2197" s="40" t="s">
        <v>556</v>
      </c>
      <c r="N2197" s="40" t="s">
        <v>556</v>
      </c>
      <c r="O2197" s="40">
        <v>1</v>
      </c>
      <c r="P2197" s="40" t="s">
        <v>556</v>
      </c>
      <c r="Q2197" s="77"/>
      <c r="R2197" s="77"/>
      <c r="S2197" s="78"/>
      <c r="T2197" s="47"/>
      <c r="U2197" s="47"/>
      <c r="V2197" s="47"/>
      <c r="W2197" s="47"/>
      <c r="X2197" s="47"/>
      <c r="Y2197" s="47"/>
      <c r="Z2197" s="47"/>
      <c r="AA2197" s="47"/>
      <c r="AB2197" s="47"/>
      <c r="AC2197" s="47"/>
      <c r="AD2197" s="47"/>
      <c r="AE2197" s="47"/>
      <c r="AF2197" s="47"/>
      <c r="AG2197" s="47"/>
      <c r="AH2197" s="47"/>
      <c r="AI2197" s="47"/>
      <c r="AJ2197" s="47"/>
      <c r="AK2197" s="47"/>
      <c r="AL2197" s="47"/>
      <c r="AM2197" s="47"/>
      <c r="AN2197" s="47"/>
      <c r="AO2197" s="47"/>
      <c r="AP2197" s="47"/>
      <c r="AQ2197" s="47"/>
      <c r="AR2197" s="47"/>
      <c r="AS2197" s="47"/>
      <c r="AT2197" s="47"/>
      <c r="AU2197" s="47"/>
      <c r="AV2197" s="47"/>
    </row>
    <row r="2198" spans="1:48" s="18" customFormat="1" ht="15.75" customHeight="1">
      <c r="A2198" s="50"/>
      <c r="B2198" s="93" t="s">
        <v>37</v>
      </c>
      <c r="C2198" s="16"/>
      <c r="D2198" s="51"/>
      <c r="E2198" s="51"/>
      <c r="F2198" s="51"/>
      <c r="G2198" s="51"/>
      <c r="H2198" s="51"/>
      <c r="I2198" s="51"/>
      <c r="J2198" s="51"/>
      <c r="K2198" s="51"/>
      <c r="L2198" s="60" t="str">
        <f>L2199</f>
        <v> -</v>
      </c>
      <c r="M2198" s="60" t="str">
        <f>M2199</f>
        <v> -</v>
      </c>
      <c r="N2198" s="60">
        <f>N2199</f>
        <v>1</v>
      </c>
      <c r="O2198" s="60" t="str">
        <f>O2199</f>
        <v> -</v>
      </c>
      <c r="P2198" s="60" t="str">
        <f>P2199</f>
        <v> -</v>
      </c>
      <c r="Q2198" s="23"/>
      <c r="R2198" s="23"/>
      <c r="S2198" s="17"/>
      <c r="T2198" s="47"/>
      <c r="U2198" s="47"/>
      <c r="V2198" s="47"/>
      <c r="W2198" s="47"/>
      <c r="X2198" s="47"/>
      <c r="Y2198" s="47"/>
      <c r="Z2198" s="47"/>
      <c r="AA2198" s="47"/>
      <c r="AB2198" s="47"/>
      <c r="AC2198" s="47"/>
      <c r="AD2198" s="47"/>
      <c r="AE2198" s="47"/>
      <c r="AF2198" s="47"/>
      <c r="AG2198" s="47"/>
      <c r="AH2198" s="47"/>
      <c r="AI2198" s="47"/>
      <c r="AJ2198" s="47"/>
      <c r="AK2198" s="47"/>
      <c r="AL2198" s="47"/>
      <c r="AM2198" s="47"/>
      <c r="AN2198" s="47"/>
      <c r="AO2198" s="47"/>
      <c r="AP2198" s="47"/>
      <c r="AQ2198" s="47"/>
      <c r="AR2198" s="47"/>
      <c r="AS2198" s="47"/>
      <c r="AT2198" s="47"/>
      <c r="AU2198" s="47"/>
      <c r="AV2198" s="47"/>
    </row>
    <row r="2199" spans="1:48" s="18" customFormat="1" ht="15.75" customHeight="1">
      <c r="A2199" s="50"/>
      <c r="B2199" s="97" t="s">
        <v>38</v>
      </c>
      <c r="C2199" s="66" t="s">
        <v>457</v>
      </c>
      <c r="D2199" s="51"/>
      <c r="E2199" s="51"/>
      <c r="F2199" s="51"/>
      <c r="G2199" s="51">
        <v>1</v>
      </c>
      <c r="H2199" s="51">
        <v>2</v>
      </c>
      <c r="I2199" s="51">
        <v>2</v>
      </c>
      <c r="J2199" s="51">
        <v>2</v>
      </c>
      <c r="K2199" s="51">
        <v>3</v>
      </c>
      <c r="L2199" s="40" t="s">
        <v>556</v>
      </c>
      <c r="M2199" s="40" t="s">
        <v>556</v>
      </c>
      <c r="N2199" s="40">
        <v>1</v>
      </c>
      <c r="O2199" s="40" t="s">
        <v>556</v>
      </c>
      <c r="P2199" s="40" t="s">
        <v>556</v>
      </c>
      <c r="Q2199" s="77"/>
      <c r="R2199" s="77"/>
      <c r="S2199" s="78"/>
      <c r="T2199" s="47"/>
      <c r="U2199" s="47"/>
      <c r="V2199" s="47"/>
      <c r="W2199" s="47"/>
      <c r="X2199" s="47"/>
      <c r="Y2199" s="47"/>
      <c r="Z2199" s="47"/>
      <c r="AA2199" s="47"/>
      <c r="AB2199" s="47"/>
      <c r="AC2199" s="47"/>
      <c r="AD2199" s="47"/>
      <c r="AE2199" s="47"/>
      <c r="AF2199" s="47"/>
      <c r="AG2199" s="47"/>
      <c r="AH2199" s="47"/>
      <c r="AI2199" s="47"/>
      <c r="AJ2199" s="47"/>
      <c r="AK2199" s="47"/>
      <c r="AL2199" s="47"/>
      <c r="AM2199" s="47"/>
      <c r="AN2199" s="47"/>
      <c r="AO2199" s="47"/>
      <c r="AP2199" s="47"/>
      <c r="AQ2199" s="47"/>
      <c r="AR2199" s="47"/>
      <c r="AS2199" s="47"/>
      <c r="AT2199" s="47"/>
      <c r="AU2199" s="47"/>
      <c r="AV2199" s="47"/>
    </row>
    <row r="2200" spans="1:188" s="57" customFormat="1" ht="15.75" customHeight="1">
      <c r="A2200" s="13">
        <v>14</v>
      </c>
      <c r="B2200" s="92" t="s">
        <v>952</v>
      </c>
      <c r="C2200" s="45"/>
      <c r="D2200" s="44">
        <v>64</v>
      </c>
      <c r="E2200" s="44">
        <v>7</v>
      </c>
      <c r="F2200" s="44"/>
      <c r="G2200" s="44">
        <v>10</v>
      </c>
      <c r="H2200" s="44">
        <v>12</v>
      </c>
      <c r="I2200" s="44">
        <v>15</v>
      </c>
      <c r="J2200" s="44">
        <v>15</v>
      </c>
      <c r="K2200" s="44">
        <v>16</v>
      </c>
      <c r="L2200" s="44">
        <f>SUM(L2201,L2203,L2205)</f>
        <v>2</v>
      </c>
      <c r="M2200" s="44">
        <f>SUM(M2201,M2203,M2205)</f>
        <v>1</v>
      </c>
      <c r="N2200" s="44">
        <f>SUM(N2201,N2203,N2205)</f>
        <v>1</v>
      </c>
      <c r="O2200" s="44">
        <f>SUM(O2201,O2203,O2205)</f>
        <v>1</v>
      </c>
      <c r="P2200" s="44">
        <f>SUM(P2201,P2203,P2205)</f>
        <v>2</v>
      </c>
      <c r="Q2200" s="54" t="s">
        <v>649</v>
      </c>
      <c r="R2200" s="54">
        <v>7</v>
      </c>
      <c r="S2200" s="55" t="s">
        <v>590</v>
      </c>
      <c r="T2200" s="56"/>
      <c r="U2200" s="56"/>
      <c r="V2200" s="56"/>
      <c r="W2200" s="56"/>
      <c r="X2200" s="56"/>
      <c r="Y2200" s="56"/>
      <c r="Z2200" s="56"/>
      <c r="AA2200" s="56"/>
      <c r="AB2200" s="56"/>
      <c r="AC2200" s="56"/>
      <c r="AD2200" s="56"/>
      <c r="AE2200" s="56"/>
      <c r="AF2200" s="56"/>
      <c r="AG2200" s="56"/>
      <c r="AH2200" s="56"/>
      <c r="AI2200" s="56"/>
      <c r="AJ2200" s="56"/>
      <c r="AK2200" s="56"/>
      <c r="AL2200" s="56"/>
      <c r="AM2200" s="56"/>
      <c r="AN2200" s="56"/>
      <c r="AO2200" s="56"/>
      <c r="AP2200" s="56"/>
      <c r="AQ2200" s="56"/>
      <c r="AR2200" s="56"/>
      <c r="AS2200" s="56"/>
      <c r="AT2200" s="56"/>
      <c r="AU2200" s="56"/>
      <c r="AV2200" s="56"/>
      <c r="AW2200" s="56"/>
      <c r="AX2200" s="56"/>
      <c r="AY2200" s="56"/>
      <c r="AZ2200" s="56"/>
      <c r="BA2200" s="56"/>
      <c r="BB2200" s="56"/>
      <c r="BC2200" s="56"/>
      <c r="BD2200" s="56"/>
      <c r="BE2200" s="56"/>
      <c r="BF2200" s="56"/>
      <c r="BG2200" s="56"/>
      <c r="BH2200" s="56"/>
      <c r="BI2200" s="56"/>
      <c r="BJ2200" s="56"/>
      <c r="BK2200" s="56"/>
      <c r="BL2200" s="56"/>
      <c r="BM2200" s="56"/>
      <c r="BN2200" s="56"/>
      <c r="BO2200" s="56"/>
      <c r="BP2200" s="56"/>
      <c r="BQ2200" s="56"/>
      <c r="BR2200" s="56"/>
      <c r="BS2200" s="56"/>
      <c r="BT2200" s="56"/>
      <c r="BU2200" s="56"/>
      <c r="BV2200" s="56"/>
      <c r="BW2200" s="56"/>
      <c r="BX2200" s="56"/>
      <c r="BY2200" s="56"/>
      <c r="BZ2200" s="56"/>
      <c r="CA2200" s="56"/>
      <c r="CB2200" s="56"/>
      <c r="CC2200" s="56"/>
      <c r="CD2200" s="56"/>
      <c r="CE2200" s="56"/>
      <c r="CF2200" s="56"/>
      <c r="CG2200" s="56"/>
      <c r="CH2200" s="56"/>
      <c r="CI2200" s="56"/>
      <c r="CJ2200" s="56"/>
      <c r="CK2200" s="56"/>
      <c r="CL2200" s="56"/>
      <c r="CM2200" s="56"/>
      <c r="CN2200" s="56"/>
      <c r="CO2200" s="56"/>
      <c r="CP2200" s="56"/>
      <c r="CQ2200" s="56"/>
      <c r="CR2200" s="56"/>
      <c r="CS2200" s="56"/>
      <c r="CT2200" s="56"/>
      <c r="CU2200" s="56"/>
      <c r="CV2200" s="56"/>
      <c r="CW2200" s="56"/>
      <c r="CX2200" s="56"/>
      <c r="CY2200" s="56"/>
      <c r="CZ2200" s="56"/>
      <c r="DA2200" s="56"/>
      <c r="DB2200" s="56"/>
      <c r="DC2200" s="56"/>
      <c r="DD2200" s="56"/>
      <c r="DE2200" s="56"/>
      <c r="DF2200" s="56"/>
      <c r="DG2200" s="56"/>
      <c r="DH2200" s="56"/>
      <c r="DI2200" s="56"/>
      <c r="DJ2200" s="56"/>
      <c r="DK2200" s="56"/>
      <c r="DL2200" s="56"/>
      <c r="DM2200" s="56"/>
      <c r="DN2200" s="56"/>
      <c r="DO2200" s="56"/>
      <c r="DP2200" s="56"/>
      <c r="DQ2200" s="56"/>
      <c r="DR2200" s="56"/>
      <c r="DS2200" s="56"/>
      <c r="DT2200" s="56"/>
      <c r="DU2200" s="56"/>
      <c r="DV2200" s="56"/>
      <c r="DW2200" s="56"/>
      <c r="DX2200" s="56"/>
      <c r="DY2200" s="56"/>
      <c r="DZ2200" s="56"/>
      <c r="EA2200" s="56"/>
      <c r="EB2200" s="56"/>
      <c r="EC2200" s="56"/>
      <c r="ED2200" s="56"/>
      <c r="EE2200" s="56"/>
      <c r="EF2200" s="56"/>
      <c r="EG2200" s="56"/>
      <c r="EH2200" s="56"/>
      <c r="EI2200" s="56"/>
      <c r="EJ2200" s="56"/>
      <c r="EK2200" s="56"/>
      <c r="EL2200" s="56"/>
      <c r="EM2200" s="56"/>
      <c r="EN2200" s="56"/>
      <c r="EO2200" s="56"/>
      <c r="EP2200" s="56"/>
      <c r="EQ2200" s="56"/>
      <c r="ER2200" s="56"/>
      <c r="ES2200" s="56"/>
      <c r="ET2200" s="56"/>
      <c r="EU2200" s="56"/>
      <c r="EV2200" s="56"/>
      <c r="EW2200" s="56"/>
      <c r="EX2200" s="56"/>
      <c r="EY2200" s="56"/>
      <c r="EZ2200" s="56"/>
      <c r="FA2200" s="56"/>
      <c r="FB2200" s="56"/>
      <c r="FC2200" s="56"/>
      <c r="FD2200" s="56"/>
      <c r="FE2200" s="56"/>
      <c r="FF2200" s="56"/>
      <c r="FG2200" s="56"/>
      <c r="FH2200" s="56"/>
      <c r="FI2200" s="56"/>
      <c r="FJ2200" s="56"/>
      <c r="FK2200" s="56"/>
      <c r="FL2200" s="56"/>
      <c r="FM2200" s="56"/>
      <c r="FN2200" s="56"/>
      <c r="FO2200" s="56"/>
      <c r="FP2200" s="56"/>
      <c r="FQ2200" s="56"/>
      <c r="FR2200" s="56"/>
      <c r="FS2200" s="56"/>
      <c r="FT2200" s="56"/>
      <c r="FU2200" s="56"/>
      <c r="FV2200" s="56"/>
      <c r="FW2200" s="56"/>
      <c r="FX2200" s="56"/>
      <c r="FY2200" s="56"/>
      <c r="FZ2200" s="56"/>
      <c r="GA2200" s="56"/>
      <c r="GB2200" s="56"/>
      <c r="GC2200" s="56"/>
      <c r="GD2200" s="56"/>
      <c r="GE2200" s="56"/>
      <c r="GF2200" s="56"/>
    </row>
    <row r="2201" spans="1:48" s="18" customFormat="1" ht="15.75" customHeight="1">
      <c r="A2201" s="50"/>
      <c r="B2201" s="93" t="s">
        <v>669</v>
      </c>
      <c r="C2201" s="16"/>
      <c r="D2201" s="52"/>
      <c r="E2201" s="52"/>
      <c r="F2201" s="52"/>
      <c r="G2201" s="52"/>
      <c r="H2201" s="52"/>
      <c r="I2201" s="52"/>
      <c r="J2201" s="52"/>
      <c r="K2201" s="52"/>
      <c r="L2201" s="60">
        <f>SUM(L2202:L2202)</f>
        <v>2</v>
      </c>
      <c r="M2201" s="60" t="s">
        <v>556</v>
      </c>
      <c r="N2201" s="60" t="s">
        <v>556</v>
      </c>
      <c r="O2201" s="60">
        <f>SUM(O2202:O2202)</f>
        <v>1</v>
      </c>
      <c r="P2201" s="60">
        <f>SUM(P2202:P2202)</f>
        <v>1</v>
      </c>
      <c r="Q2201" s="23"/>
      <c r="R2201" s="23"/>
      <c r="S2201" s="17"/>
      <c r="T2201" s="47"/>
      <c r="U2201" s="47"/>
      <c r="V2201" s="47"/>
      <c r="W2201" s="47"/>
      <c r="X2201" s="47"/>
      <c r="Y2201" s="47"/>
      <c r="Z2201" s="47"/>
      <c r="AA2201" s="47"/>
      <c r="AB2201" s="47"/>
      <c r="AC2201" s="47"/>
      <c r="AD2201" s="47"/>
      <c r="AE2201" s="47"/>
      <c r="AF2201" s="47"/>
      <c r="AG2201" s="47"/>
      <c r="AH2201" s="47"/>
      <c r="AI2201" s="47"/>
      <c r="AJ2201" s="47"/>
      <c r="AK2201" s="47"/>
      <c r="AL2201" s="47"/>
      <c r="AM2201" s="47"/>
      <c r="AN2201" s="47"/>
      <c r="AO2201" s="47"/>
      <c r="AP2201" s="47"/>
      <c r="AQ2201" s="47"/>
      <c r="AR2201" s="47"/>
      <c r="AS2201" s="47"/>
      <c r="AT2201" s="47"/>
      <c r="AU2201" s="47"/>
      <c r="AV2201" s="47"/>
    </row>
    <row r="2202" spans="1:48" s="18" customFormat="1" ht="15.75" customHeight="1">
      <c r="A2202" s="50"/>
      <c r="B2202" s="97" t="s">
        <v>555</v>
      </c>
      <c r="C2202" s="29" t="s">
        <v>445</v>
      </c>
      <c r="D2202" s="51"/>
      <c r="E2202" s="51"/>
      <c r="F2202" s="51"/>
      <c r="G2202" s="51"/>
      <c r="H2202" s="51"/>
      <c r="I2202" s="51"/>
      <c r="J2202" s="51"/>
      <c r="K2202" s="51"/>
      <c r="L2202" s="40">
        <v>2</v>
      </c>
      <c r="M2202" s="40" t="s">
        <v>556</v>
      </c>
      <c r="N2202" s="40" t="s">
        <v>556</v>
      </c>
      <c r="O2202" s="40">
        <v>1</v>
      </c>
      <c r="P2202" s="40">
        <v>1</v>
      </c>
      <c r="Q2202" s="77"/>
      <c r="R2202" s="77"/>
      <c r="S2202" s="78"/>
      <c r="T2202" s="47"/>
      <c r="U2202" s="47"/>
      <c r="V2202" s="47"/>
      <c r="W2202" s="47"/>
      <c r="X2202" s="47"/>
      <c r="Y2202" s="47"/>
      <c r="Z2202" s="47"/>
      <c r="AA2202" s="47"/>
      <c r="AB2202" s="47"/>
      <c r="AC2202" s="47"/>
      <c r="AD2202" s="47"/>
      <c r="AE2202" s="47"/>
      <c r="AF2202" s="47"/>
      <c r="AG2202" s="47"/>
      <c r="AH2202" s="47"/>
      <c r="AI2202" s="47"/>
      <c r="AJ2202" s="47"/>
      <c r="AK2202" s="47"/>
      <c r="AL2202" s="47"/>
      <c r="AM2202" s="47"/>
      <c r="AN2202" s="47"/>
      <c r="AO2202" s="47"/>
      <c r="AP2202" s="47"/>
      <c r="AQ2202" s="47"/>
      <c r="AR2202" s="47"/>
      <c r="AS2202" s="47"/>
      <c r="AT2202" s="47"/>
      <c r="AU2202" s="47"/>
      <c r="AV2202" s="47"/>
    </row>
    <row r="2203" spans="1:48" s="18" customFormat="1" ht="15.75" customHeight="1">
      <c r="A2203" s="50"/>
      <c r="B2203" s="93" t="s">
        <v>670</v>
      </c>
      <c r="C2203" s="16"/>
      <c r="D2203" s="51"/>
      <c r="E2203" s="51"/>
      <c r="F2203" s="51"/>
      <c r="G2203" s="51"/>
      <c r="H2203" s="51"/>
      <c r="I2203" s="51"/>
      <c r="J2203" s="51"/>
      <c r="K2203" s="51"/>
      <c r="L2203" s="60" t="str">
        <f>L2204</f>
        <v> -</v>
      </c>
      <c r="M2203" s="60" t="str">
        <f>M2204</f>
        <v> -</v>
      </c>
      <c r="N2203" s="60">
        <f>N2204</f>
        <v>1</v>
      </c>
      <c r="O2203" s="60" t="str">
        <f>O2204</f>
        <v> -</v>
      </c>
      <c r="P2203" s="60" t="str">
        <f>P2204</f>
        <v> -</v>
      </c>
      <c r="Q2203" s="23"/>
      <c r="R2203" s="23"/>
      <c r="S2203" s="17"/>
      <c r="T2203" s="47"/>
      <c r="U2203" s="47"/>
      <c r="V2203" s="47"/>
      <c r="W2203" s="47"/>
      <c r="X2203" s="47"/>
      <c r="Y2203" s="47"/>
      <c r="Z2203" s="47"/>
      <c r="AA2203" s="47"/>
      <c r="AB2203" s="47"/>
      <c r="AC2203" s="47"/>
      <c r="AD2203" s="47"/>
      <c r="AE2203" s="47"/>
      <c r="AF2203" s="47"/>
      <c r="AG2203" s="47"/>
      <c r="AH2203" s="47"/>
      <c r="AI2203" s="47"/>
      <c r="AJ2203" s="47"/>
      <c r="AK2203" s="47"/>
      <c r="AL2203" s="47"/>
      <c r="AM2203" s="47"/>
      <c r="AN2203" s="47"/>
      <c r="AO2203" s="47"/>
      <c r="AP2203" s="47"/>
      <c r="AQ2203" s="47"/>
      <c r="AR2203" s="47"/>
      <c r="AS2203" s="47"/>
      <c r="AT2203" s="47"/>
      <c r="AU2203" s="47"/>
      <c r="AV2203" s="47"/>
    </row>
    <row r="2204" spans="1:48" s="18" customFormat="1" ht="15.75" customHeight="1">
      <c r="A2204" s="50"/>
      <c r="B2204" s="97" t="s">
        <v>561</v>
      </c>
      <c r="C2204" s="66" t="s">
        <v>804</v>
      </c>
      <c r="D2204" s="51"/>
      <c r="E2204" s="51"/>
      <c r="F2204" s="51">
        <v>3</v>
      </c>
      <c r="G2204" s="51">
        <v>9</v>
      </c>
      <c r="H2204" s="51">
        <v>9</v>
      </c>
      <c r="I2204" s="51">
        <v>9</v>
      </c>
      <c r="J2204" s="51">
        <v>9</v>
      </c>
      <c r="K2204" s="51">
        <v>9</v>
      </c>
      <c r="L2204" s="40" t="s">
        <v>556</v>
      </c>
      <c r="M2204" s="40" t="s">
        <v>556</v>
      </c>
      <c r="N2204" s="40">
        <v>1</v>
      </c>
      <c r="O2204" s="40" t="s">
        <v>556</v>
      </c>
      <c r="P2204" s="40" t="s">
        <v>556</v>
      </c>
      <c r="Q2204" s="77"/>
      <c r="R2204" s="77"/>
      <c r="S2204" s="78"/>
      <c r="T2204" s="47"/>
      <c r="U2204" s="47"/>
      <c r="V2204" s="47"/>
      <c r="W2204" s="47"/>
      <c r="X2204" s="47"/>
      <c r="Y2204" s="47"/>
      <c r="Z2204" s="47"/>
      <c r="AA2204" s="47"/>
      <c r="AB2204" s="47"/>
      <c r="AC2204" s="47"/>
      <c r="AD2204" s="47"/>
      <c r="AE2204" s="47"/>
      <c r="AF2204" s="47"/>
      <c r="AG2204" s="47"/>
      <c r="AH2204" s="47"/>
      <c r="AI2204" s="47"/>
      <c r="AJ2204" s="47"/>
      <c r="AK2204" s="47"/>
      <c r="AL2204" s="47"/>
      <c r="AM2204" s="47"/>
      <c r="AN2204" s="47"/>
      <c r="AO2204" s="47"/>
      <c r="AP2204" s="47"/>
      <c r="AQ2204" s="47"/>
      <c r="AR2204" s="47"/>
      <c r="AS2204" s="47"/>
      <c r="AT2204" s="47"/>
      <c r="AU2204" s="47"/>
      <c r="AV2204" s="47"/>
    </row>
    <row r="2205" spans="1:48" s="18" customFormat="1" ht="15.75" customHeight="1">
      <c r="A2205" s="50"/>
      <c r="B2205" s="93" t="s">
        <v>37</v>
      </c>
      <c r="C2205" s="16"/>
      <c r="D2205" s="51"/>
      <c r="E2205" s="51"/>
      <c r="F2205" s="51"/>
      <c r="G2205" s="51"/>
      <c r="H2205" s="51"/>
      <c r="I2205" s="51"/>
      <c r="J2205" s="51"/>
      <c r="K2205" s="51"/>
      <c r="L2205" s="60" t="str">
        <f>L2206</f>
        <v> -</v>
      </c>
      <c r="M2205" s="60">
        <f>M2206</f>
        <v>1</v>
      </c>
      <c r="N2205" s="60" t="str">
        <f>N2206</f>
        <v> -</v>
      </c>
      <c r="O2205" s="60" t="str">
        <f>O2206</f>
        <v> -</v>
      </c>
      <c r="P2205" s="60">
        <f>P2206</f>
        <v>1</v>
      </c>
      <c r="Q2205" s="23"/>
      <c r="R2205" s="23"/>
      <c r="S2205" s="17"/>
      <c r="T2205" s="47"/>
      <c r="U2205" s="47"/>
      <c r="V2205" s="47"/>
      <c r="W2205" s="47"/>
      <c r="X2205" s="47"/>
      <c r="Y2205" s="47"/>
      <c r="Z2205" s="47"/>
      <c r="AA2205" s="47"/>
      <c r="AB2205" s="47"/>
      <c r="AC2205" s="47"/>
      <c r="AD2205" s="47"/>
      <c r="AE2205" s="47"/>
      <c r="AF2205" s="47"/>
      <c r="AG2205" s="47"/>
      <c r="AH2205" s="47"/>
      <c r="AI2205" s="47"/>
      <c r="AJ2205" s="47"/>
      <c r="AK2205" s="47"/>
      <c r="AL2205" s="47"/>
      <c r="AM2205" s="47"/>
      <c r="AN2205" s="47"/>
      <c r="AO2205" s="47"/>
      <c r="AP2205" s="47"/>
      <c r="AQ2205" s="47"/>
      <c r="AR2205" s="47"/>
      <c r="AS2205" s="47"/>
      <c r="AT2205" s="47"/>
      <c r="AU2205" s="47"/>
      <c r="AV2205" s="47"/>
    </row>
    <row r="2206" spans="1:48" s="18" customFormat="1" ht="15.75" customHeight="1">
      <c r="A2206" s="50"/>
      <c r="B2206" s="97" t="s">
        <v>40</v>
      </c>
      <c r="C2206" s="64" t="s">
        <v>39</v>
      </c>
      <c r="D2206" s="51"/>
      <c r="E2206" s="51"/>
      <c r="F2206" s="51"/>
      <c r="G2206" s="51">
        <v>1</v>
      </c>
      <c r="H2206" s="51">
        <v>2</v>
      </c>
      <c r="I2206" s="51">
        <v>2</v>
      </c>
      <c r="J2206" s="51">
        <v>2</v>
      </c>
      <c r="K2206" s="51">
        <v>3</v>
      </c>
      <c r="L2206" s="40" t="s">
        <v>556</v>
      </c>
      <c r="M2206" s="40">
        <v>1</v>
      </c>
      <c r="N2206" s="40" t="s">
        <v>556</v>
      </c>
      <c r="O2206" s="40" t="s">
        <v>556</v>
      </c>
      <c r="P2206" s="40">
        <v>1</v>
      </c>
      <c r="Q2206" s="77"/>
      <c r="R2206" s="77"/>
      <c r="S2206" s="78"/>
      <c r="T2206" s="47"/>
      <c r="U2206" s="47"/>
      <c r="V2206" s="47"/>
      <c r="W2206" s="47"/>
      <c r="X2206" s="47"/>
      <c r="Y2206" s="47"/>
      <c r="Z2206" s="47"/>
      <c r="AA2206" s="47"/>
      <c r="AB2206" s="47"/>
      <c r="AC2206" s="47"/>
      <c r="AD2206" s="47"/>
      <c r="AE2206" s="47"/>
      <c r="AF2206" s="47"/>
      <c r="AG2206" s="47"/>
      <c r="AH2206" s="47"/>
      <c r="AI2206" s="47"/>
      <c r="AJ2206" s="47"/>
      <c r="AK2206" s="47"/>
      <c r="AL2206" s="47"/>
      <c r="AM2206" s="47"/>
      <c r="AN2206" s="47"/>
      <c r="AO2206" s="47"/>
      <c r="AP2206" s="47"/>
      <c r="AQ2206" s="47"/>
      <c r="AR2206" s="47"/>
      <c r="AS2206" s="47"/>
      <c r="AT2206" s="47"/>
      <c r="AU2206" s="47"/>
      <c r="AV2206" s="47"/>
    </row>
    <row r="2207" spans="1:188" s="57" customFormat="1" ht="15.75" customHeight="1">
      <c r="A2207" s="13">
        <v>15</v>
      </c>
      <c r="B2207" s="92" t="s">
        <v>947</v>
      </c>
      <c r="C2207" s="45"/>
      <c r="D2207" s="44">
        <v>60</v>
      </c>
      <c r="E2207" s="44" t="s">
        <v>556</v>
      </c>
      <c r="F2207" s="44"/>
      <c r="G2207" s="44">
        <v>10</v>
      </c>
      <c r="H2207" s="44">
        <v>12</v>
      </c>
      <c r="I2207" s="44">
        <v>15</v>
      </c>
      <c r="J2207" s="44">
        <v>15</v>
      </c>
      <c r="K2207" s="44">
        <v>16</v>
      </c>
      <c r="L2207" s="44">
        <v>5</v>
      </c>
      <c r="M2207" s="44" t="s">
        <v>556</v>
      </c>
      <c r="N2207" s="44" t="s">
        <v>556</v>
      </c>
      <c r="O2207" s="44" t="s">
        <v>556</v>
      </c>
      <c r="P2207" s="44" t="s">
        <v>556</v>
      </c>
      <c r="Q2207" s="54" t="s">
        <v>649</v>
      </c>
      <c r="R2207" s="54">
        <v>7</v>
      </c>
      <c r="S2207" s="55" t="s">
        <v>590</v>
      </c>
      <c r="T2207" s="56"/>
      <c r="U2207" s="56"/>
      <c r="V2207" s="56"/>
      <c r="W2207" s="56"/>
      <c r="X2207" s="56"/>
      <c r="Y2207" s="56"/>
      <c r="Z2207" s="56"/>
      <c r="AA2207" s="56"/>
      <c r="AB2207" s="56"/>
      <c r="AC2207" s="56"/>
      <c r="AD2207" s="56"/>
      <c r="AE2207" s="56"/>
      <c r="AF2207" s="56"/>
      <c r="AG2207" s="56"/>
      <c r="AH2207" s="56"/>
      <c r="AI2207" s="56"/>
      <c r="AJ2207" s="56"/>
      <c r="AK2207" s="56"/>
      <c r="AL2207" s="56"/>
      <c r="AM2207" s="56"/>
      <c r="AN2207" s="56"/>
      <c r="AO2207" s="56"/>
      <c r="AP2207" s="56"/>
      <c r="AQ2207" s="56"/>
      <c r="AR2207" s="56"/>
      <c r="AS2207" s="56"/>
      <c r="AT2207" s="56"/>
      <c r="AU2207" s="56"/>
      <c r="AV2207" s="56"/>
      <c r="AW2207" s="56"/>
      <c r="AX2207" s="56"/>
      <c r="AY2207" s="56"/>
      <c r="AZ2207" s="56"/>
      <c r="BA2207" s="56"/>
      <c r="BB2207" s="56"/>
      <c r="BC2207" s="56"/>
      <c r="BD2207" s="56"/>
      <c r="BE2207" s="56"/>
      <c r="BF2207" s="56"/>
      <c r="BG2207" s="56"/>
      <c r="BH2207" s="56"/>
      <c r="BI2207" s="56"/>
      <c r="BJ2207" s="56"/>
      <c r="BK2207" s="56"/>
      <c r="BL2207" s="56"/>
      <c r="BM2207" s="56"/>
      <c r="BN2207" s="56"/>
      <c r="BO2207" s="56"/>
      <c r="BP2207" s="56"/>
      <c r="BQ2207" s="56"/>
      <c r="BR2207" s="56"/>
      <c r="BS2207" s="56"/>
      <c r="BT2207" s="56"/>
      <c r="BU2207" s="56"/>
      <c r="BV2207" s="56"/>
      <c r="BW2207" s="56"/>
      <c r="BX2207" s="56"/>
      <c r="BY2207" s="56"/>
      <c r="BZ2207" s="56"/>
      <c r="CA2207" s="56"/>
      <c r="CB2207" s="56"/>
      <c r="CC2207" s="56"/>
      <c r="CD2207" s="56"/>
      <c r="CE2207" s="56"/>
      <c r="CF2207" s="56"/>
      <c r="CG2207" s="56"/>
      <c r="CH2207" s="56"/>
      <c r="CI2207" s="56"/>
      <c r="CJ2207" s="56"/>
      <c r="CK2207" s="56"/>
      <c r="CL2207" s="56"/>
      <c r="CM2207" s="56"/>
      <c r="CN2207" s="56"/>
      <c r="CO2207" s="56"/>
      <c r="CP2207" s="56"/>
      <c r="CQ2207" s="56"/>
      <c r="CR2207" s="56"/>
      <c r="CS2207" s="56"/>
      <c r="CT2207" s="56"/>
      <c r="CU2207" s="56"/>
      <c r="CV2207" s="56"/>
      <c r="CW2207" s="56"/>
      <c r="CX2207" s="56"/>
      <c r="CY2207" s="56"/>
      <c r="CZ2207" s="56"/>
      <c r="DA2207" s="56"/>
      <c r="DB2207" s="56"/>
      <c r="DC2207" s="56"/>
      <c r="DD2207" s="56"/>
      <c r="DE2207" s="56"/>
      <c r="DF2207" s="56"/>
      <c r="DG2207" s="56"/>
      <c r="DH2207" s="56"/>
      <c r="DI2207" s="56"/>
      <c r="DJ2207" s="56"/>
      <c r="DK2207" s="56"/>
      <c r="DL2207" s="56"/>
      <c r="DM2207" s="56"/>
      <c r="DN2207" s="56"/>
      <c r="DO2207" s="56"/>
      <c r="DP2207" s="56"/>
      <c r="DQ2207" s="56"/>
      <c r="DR2207" s="56"/>
      <c r="DS2207" s="56"/>
      <c r="DT2207" s="56"/>
      <c r="DU2207" s="56"/>
      <c r="DV2207" s="56"/>
      <c r="DW2207" s="56"/>
      <c r="DX2207" s="56"/>
      <c r="DY2207" s="56"/>
      <c r="DZ2207" s="56"/>
      <c r="EA2207" s="56"/>
      <c r="EB2207" s="56"/>
      <c r="EC2207" s="56"/>
      <c r="ED2207" s="56"/>
      <c r="EE2207" s="56"/>
      <c r="EF2207" s="56"/>
      <c r="EG2207" s="56"/>
      <c r="EH2207" s="56"/>
      <c r="EI2207" s="56"/>
      <c r="EJ2207" s="56"/>
      <c r="EK2207" s="56"/>
      <c r="EL2207" s="56"/>
      <c r="EM2207" s="56"/>
      <c r="EN2207" s="56"/>
      <c r="EO2207" s="56"/>
      <c r="EP2207" s="56"/>
      <c r="EQ2207" s="56"/>
      <c r="ER2207" s="56"/>
      <c r="ES2207" s="56"/>
      <c r="ET2207" s="56"/>
      <c r="EU2207" s="56"/>
      <c r="EV2207" s="56"/>
      <c r="EW2207" s="56"/>
      <c r="EX2207" s="56"/>
      <c r="EY2207" s="56"/>
      <c r="EZ2207" s="56"/>
      <c r="FA2207" s="56"/>
      <c r="FB2207" s="56"/>
      <c r="FC2207" s="56"/>
      <c r="FD2207" s="56"/>
      <c r="FE2207" s="56"/>
      <c r="FF2207" s="56"/>
      <c r="FG2207" s="56"/>
      <c r="FH2207" s="56"/>
      <c r="FI2207" s="56"/>
      <c r="FJ2207" s="56"/>
      <c r="FK2207" s="56"/>
      <c r="FL2207" s="56"/>
      <c r="FM2207" s="56"/>
      <c r="FN2207" s="56"/>
      <c r="FO2207" s="56"/>
      <c r="FP2207" s="56"/>
      <c r="FQ2207" s="56"/>
      <c r="FR2207" s="56"/>
      <c r="FS2207" s="56"/>
      <c r="FT2207" s="56"/>
      <c r="FU2207" s="56"/>
      <c r="FV2207" s="56"/>
      <c r="FW2207" s="56"/>
      <c r="FX2207" s="56"/>
      <c r="FY2207" s="56"/>
      <c r="FZ2207" s="56"/>
      <c r="GA2207" s="56"/>
      <c r="GB2207" s="56"/>
      <c r="GC2207" s="56"/>
      <c r="GD2207" s="56"/>
      <c r="GE2207" s="56"/>
      <c r="GF2207" s="56"/>
    </row>
    <row r="2208" spans="1:48" s="18" customFormat="1" ht="15.75" customHeight="1">
      <c r="A2208" s="50"/>
      <c r="B2208" s="93" t="s">
        <v>669</v>
      </c>
      <c r="C2208" s="16"/>
      <c r="D2208" s="52"/>
      <c r="E2208" s="52"/>
      <c r="F2208" s="52"/>
      <c r="G2208" s="52"/>
      <c r="H2208" s="52"/>
      <c r="I2208" s="52"/>
      <c r="J2208" s="52"/>
      <c r="K2208" s="52"/>
      <c r="L2208" s="60">
        <f>L2209</f>
        <v>3</v>
      </c>
      <c r="M2208" s="60" t="str">
        <f>M2209</f>
        <v> -</v>
      </c>
      <c r="N2208" s="60" t="str">
        <f>N2209</f>
        <v> -</v>
      </c>
      <c r="O2208" s="60" t="str">
        <f>O2209</f>
        <v> -</v>
      </c>
      <c r="P2208" s="60" t="str">
        <f>P2209</f>
        <v> -</v>
      </c>
      <c r="Q2208" s="23"/>
      <c r="R2208" s="23"/>
      <c r="S2208" s="17"/>
      <c r="T2208" s="47"/>
      <c r="U2208" s="47"/>
      <c r="V2208" s="47"/>
      <c r="W2208" s="47"/>
      <c r="X2208" s="47"/>
      <c r="Y2208" s="47"/>
      <c r="Z2208" s="47"/>
      <c r="AA2208" s="47"/>
      <c r="AB2208" s="47"/>
      <c r="AC2208" s="47"/>
      <c r="AD2208" s="47"/>
      <c r="AE2208" s="47"/>
      <c r="AF2208" s="47"/>
      <c r="AG2208" s="47"/>
      <c r="AH2208" s="47"/>
      <c r="AI2208" s="47"/>
      <c r="AJ2208" s="47"/>
      <c r="AK2208" s="47"/>
      <c r="AL2208" s="47"/>
      <c r="AM2208" s="47"/>
      <c r="AN2208" s="47"/>
      <c r="AO2208" s="47"/>
      <c r="AP2208" s="47"/>
      <c r="AQ2208" s="47"/>
      <c r="AR2208" s="47"/>
      <c r="AS2208" s="47"/>
      <c r="AT2208" s="47"/>
      <c r="AU2208" s="47"/>
      <c r="AV2208" s="47"/>
    </row>
    <row r="2209" spans="1:48" s="18" customFormat="1" ht="15.75" customHeight="1">
      <c r="A2209" s="50"/>
      <c r="B2209" s="111" t="s">
        <v>559</v>
      </c>
      <c r="C2209" s="15">
        <v>37020339</v>
      </c>
      <c r="D2209" s="51"/>
      <c r="E2209" s="51"/>
      <c r="F2209" s="51"/>
      <c r="G2209" s="51"/>
      <c r="H2209" s="51"/>
      <c r="I2209" s="51"/>
      <c r="J2209" s="51"/>
      <c r="K2209" s="51"/>
      <c r="L2209" s="40">
        <v>3</v>
      </c>
      <c r="M2209" s="40" t="s">
        <v>556</v>
      </c>
      <c r="N2209" s="40" t="s">
        <v>556</v>
      </c>
      <c r="O2209" s="40" t="s">
        <v>556</v>
      </c>
      <c r="P2209" s="40" t="s">
        <v>556</v>
      </c>
      <c r="Q2209" s="77"/>
      <c r="R2209" s="77"/>
      <c r="S2209" s="78"/>
      <c r="T2209" s="47"/>
      <c r="U2209" s="47"/>
      <c r="V2209" s="47"/>
      <c r="W2209" s="47"/>
      <c r="X2209" s="47"/>
      <c r="Y2209" s="47"/>
      <c r="Z2209" s="47"/>
      <c r="AA2209" s="47"/>
      <c r="AB2209" s="47"/>
      <c r="AC2209" s="47"/>
      <c r="AD2209" s="47"/>
      <c r="AE2209" s="47"/>
      <c r="AF2209" s="47"/>
      <c r="AG2209" s="47"/>
      <c r="AH2209" s="47"/>
      <c r="AI2209" s="47"/>
      <c r="AJ2209" s="47"/>
      <c r="AK2209" s="47"/>
      <c r="AL2209" s="47"/>
      <c r="AM2209" s="47"/>
      <c r="AN2209" s="47"/>
      <c r="AO2209" s="47"/>
      <c r="AP2209" s="47"/>
      <c r="AQ2209" s="47"/>
      <c r="AR2209" s="47"/>
      <c r="AS2209" s="47"/>
      <c r="AT2209" s="47"/>
      <c r="AU2209" s="47"/>
      <c r="AV2209" s="47"/>
    </row>
    <row r="2210" spans="1:48" s="18" customFormat="1" ht="15.75" customHeight="1">
      <c r="A2210" s="50"/>
      <c r="B2210" s="93" t="s">
        <v>37</v>
      </c>
      <c r="C2210" s="16"/>
      <c r="D2210" s="51"/>
      <c r="E2210" s="51"/>
      <c r="F2210" s="51"/>
      <c r="G2210" s="51"/>
      <c r="H2210" s="51"/>
      <c r="I2210" s="51"/>
      <c r="J2210" s="51"/>
      <c r="K2210" s="51"/>
      <c r="L2210" s="60">
        <f>L2211</f>
        <v>2</v>
      </c>
      <c r="M2210" s="60" t="str">
        <f>M2211</f>
        <v> -</v>
      </c>
      <c r="N2210" s="60" t="str">
        <f>N2211</f>
        <v> -</v>
      </c>
      <c r="O2210" s="60" t="str">
        <f>O2211</f>
        <v> -</v>
      </c>
      <c r="P2210" s="60" t="str">
        <f>P2211</f>
        <v> -</v>
      </c>
      <c r="Q2210" s="23"/>
      <c r="R2210" s="23"/>
      <c r="S2210" s="17"/>
      <c r="T2210" s="47"/>
      <c r="U2210" s="47"/>
      <c r="V2210" s="47"/>
      <c r="W2210" s="47"/>
      <c r="X2210" s="47"/>
      <c r="Y2210" s="47"/>
      <c r="Z2210" s="47"/>
      <c r="AA2210" s="47"/>
      <c r="AB2210" s="47"/>
      <c r="AC2210" s="47"/>
      <c r="AD2210" s="47"/>
      <c r="AE2210" s="47"/>
      <c r="AF2210" s="47"/>
      <c r="AG2210" s="47"/>
      <c r="AH2210" s="47"/>
      <c r="AI2210" s="47"/>
      <c r="AJ2210" s="47"/>
      <c r="AK2210" s="47"/>
      <c r="AL2210" s="47"/>
      <c r="AM2210" s="47"/>
      <c r="AN2210" s="47"/>
      <c r="AO2210" s="47"/>
      <c r="AP2210" s="47"/>
      <c r="AQ2210" s="47"/>
      <c r="AR2210" s="47"/>
      <c r="AS2210" s="47"/>
      <c r="AT2210" s="47"/>
      <c r="AU2210" s="47"/>
      <c r="AV2210" s="47"/>
    </row>
    <row r="2211" spans="1:48" s="18" customFormat="1" ht="15.75" customHeight="1">
      <c r="A2211" s="50"/>
      <c r="B2211" s="97" t="s">
        <v>40</v>
      </c>
      <c r="C2211" s="64" t="s">
        <v>39</v>
      </c>
      <c r="D2211" s="51"/>
      <c r="E2211" s="51"/>
      <c r="F2211" s="51"/>
      <c r="G2211" s="51">
        <v>1</v>
      </c>
      <c r="H2211" s="51">
        <v>2</v>
      </c>
      <c r="I2211" s="51">
        <v>2</v>
      </c>
      <c r="J2211" s="51">
        <v>2</v>
      </c>
      <c r="K2211" s="51">
        <v>3</v>
      </c>
      <c r="L2211" s="40">
        <v>2</v>
      </c>
      <c r="M2211" s="40" t="s">
        <v>556</v>
      </c>
      <c r="N2211" s="40" t="s">
        <v>556</v>
      </c>
      <c r="O2211" s="40" t="s">
        <v>556</v>
      </c>
      <c r="P2211" s="40" t="s">
        <v>556</v>
      </c>
      <c r="Q2211" s="77"/>
      <c r="R2211" s="77"/>
      <c r="S2211" s="78"/>
      <c r="T2211" s="47"/>
      <c r="U2211" s="47"/>
      <c r="V2211" s="47"/>
      <c r="W2211" s="47"/>
      <c r="X2211" s="47"/>
      <c r="Y2211" s="47"/>
      <c r="Z2211" s="47"/>
      <c r="AA2211" s="47"/>
      <c r="AB2211" s="47"/>
      <c r="AC2211" s="47"/>
      <c r="AD2211" s="47"/>
      <c r="AE2211" s="47"/>
      <c r="AF2211" s="47"/>
      <c r="AG2211" s="47"/>
      <c r="AH2211" s="47"/>
      <c r="AI2211" s="47"/>
      <c r="AJ2211" s="47"/>
      <c r="AK2211" s="47"/>
      <c r="AL2211" s="47"/>
      <c r="AM2211" s="47"/>
      <c r="AN2211" s="47"/>
      <c r="AO2211" s="47"/>
      <c r="AP2211" s="47"/>
      <c r="AQ2211" s="47"/>
      <c r="AR2211" s="47"/>
      <c r="AS2211" s="47"/>
      <c r="AT2211" s="47"/>
      <c r="AU2211" s="47"/>
      <c r="AV2211" s="47"/>
    </row>
    <row r="2212" spans="1:188" s="57" customFormat="1" ht="15.75" customHeight="1">
      <c r="A2212" s="13">
        <v>16</v>
      </c>
      <c r="B2212" s="92" t="s">
        <v>949</v>
      </c>
      <c r="C2212" s="45"/>
      <c r="D2212" s="44">
        <v>41</v>
      </c>
      <c r="E2212" s="44" t="s">
        <v>556</v>
      </c>
      <c r="F2212" s="44"/>
      <c r="G2212" s="44">
        <v>10</v>
      </c>
      <c r="H2212" s="44">
        <v>12</v>
      </c>
      <c r="I2212" s="44">
        <v>15</v>
      </c>
      <c r="J2212" s="44">
        <v>15</v>
      </c>
      <c r="K2212" s="44">
        <v>16</v>
      </c>
      <c r="L2212" s="44">
        <v>3</v>
      </c>
      <c r="M2212" s="44">
        <v>1</v>
      </c>
      <c r="N2212" s="44">
        <v>4</v>
      </c>
      <c r="O2212" s="44">
        <v>2</v>
      </c>
      <c r="P2212" s="44" t="s">
        <v>556</v>
      </c>
      <c r="Q2212" s="54" t="s">
        <v>649</v>
      </c>
      <c r="R2212" s="54">
        <v>7</v>
      </c>
      <c r="S2212" s="55" t="s">
        <v>590</v>
      </c>
      <c r="T2212" s="56"/>
      <c r="U2212" s="56"/>
      <c r="V2212" s="56"/>
      <c r="W2212" s="56"/>
      <c r="X2212" s="56"/>
      <c r="Y2212" s="56"/>
      <c r="Z2212" s="56"/>
      <c r="AA2212" s="56"/>
      <c r="AB2212" s="56"/>
      <c r="AC2212" s="56"/>
      <c r="AD2212" s="56"/>
      <c r="AE2212" s="56"/>
      <c r="AF2212" s="56"/>
      <c r="AG2212" s="56"/>
      <c r="AH2212" s="56"/>
      <c r="AI2212" s="56"/>
      <c r="AJ2212" s="56"/>
      <c r="AK2212" s="56"/>
      <c r="AL2212" s="56"/>
      <c r="AM2212" s="56"/>
      <c r="AN2212" s="56"/>
      <c r="AO2212" s="56"/>
      <c r="AP2212" s="56"/>
      <c r="AQ2212" s="56"/>
      <c r="AR2212" s="56"/>
      <c r="AS2212" s="56"/>
      <c r="AT2212" s="56"/>
      <c r="AU2212" s="56"/>
      <c r="AV2212" s="56"/>
      <c r="AW2212" s="56"/>
      <c r="AX2212" s="56"/>
      <c r="AY2212" s="56"/>
      <c r="AZ2212" s="56"/>
      <c r="BA2212" s="56"/>
      <c r="BB2212" s="56"/>
      <c r="BC2212" s="56"/>
      <c r="BD2212" s="56"/>
      <c r="BE2212" s="56"/>
      <c r="BF2212" s="56"/>
      <c r="BG2212" s="56"/>
      <c r="BH2212" s="56"/>
      <c r="BI2212" s="56"/>
      <c r="BJ2212" s="56"/>
      <c r="BK2212" s="56"/>
      <c r="BL2212" s="56"/>
      <c r="BM2212" s="56"/>
      <c r="BN2212" s="56"/>
      <c r="BO2212" s="56"/>
      <c r="BP2212" s="56"/>
      <c r="BQ2212" s="56"/>
      <c r="BR2212" s="56"/>
      <c r="BS2212" s="56"/>
      <c r="BT2212" s="56"/>
      <c r="BU2212" s="56"/>
      <c r="BV2212" s="56"/>
      <c r="BW2212" s="56"/>
      <c r="BX2212" s="56"/>
      <c r="BY2212" s="56"/>
      <c r="BZ2212" s="56"/>
      <c r="CA2212" s="56"/>
      <c r="CB2212" s="56"/>
      <c r="CC2212" s="56"/>
      <c r="CD2212" s="56"/>
      <c r="CE2212" s="56"/>
      <c r="CF2212" s="56"/>
      <c r="CG2212" s="56"/>
      <c r="CH2212" s="56"/>
      <c r="CI2212" s="56"/>
      <c r="CJ2212" s="56"/>
      <c r="CK2212" s="56"/>
      <c r="CL2212" s="56"/>
      <c r="CM2212" s="56"/>
      <c r="CN2212" s="56"/>
      <c r="CO2212" s="56"/>
      <c r="CP2212" s="56"/>
      <c r="CQ2212" s="56"/>
      <c r="CR2212" s="56"/>
      <c r="CS2212" s="56"/>
      <c r="CT2212" s="56"/>
      <c r="CU2212" s="56"/>
      <c r="CV2212" s="56"/>
      <c r="CW2212" s="56"/>
      <c r="CX2212" s="56"/>
      <c r="CY2212" s="56"/>
      <c r="CZ2212" s="56"/>
      <c r="DA2212" s="56"/>
      <c r="DB2212" s="56"/>
      <c r="DC2212" s="56"/>
      <c r="DD2212" s="56"/>
      <c r="DE2212" s="56"/>
      <c r="DF2212" s="56"/>
      <c r="DG2212" s="56"/>
      <c r="DH2212" s="56"/>
      <c r="DI2212" s="56"/>
      <c r="DJ2212" s="56"/>
      <c r="DK2212" s="56"/>
      <c r="DL2212" s="56"/>
      <c r="DM2212" s="56"/>
      <c r="DN2212" s="56"/>
      <c r="DO2212" s="56"/>
      <c r="DP2212" s="56"/>
      <c r="DQ2212" s="56"/>
      <c r="DR2212" s="56"/>
      <c r="DS2212" s="56"/>
      <c r="DT2212" s="56"/>
      <c r="DU2212" s="56"/>
      <c r="DV2212" s="56"/>
      <c r="DW2212" s="56"/>
      <c r="DX2212" s="56"/>
      <c r="DY2212" s="56"/>
      <c r="DZ2212" s="56"/>
      <c r="EA2212" s="56"/>
      <c r="EB2212" s="56"/>
      <c r="EC2212" s="56"/>
      <c r="ED2212" s="56"/>
      <c r="EE2212" s="56"/>
      <c r="EF2212" s="56"/>
      <c r="EG2212" s="56"/>
      <c r="EH2212" s="56"/>
      <c r="EI2212" s="56"/>
      <c r="EJ2212" s="56"/>
      <c r="EK2212" s="56"/>
      <c r="EL2212" s="56"/>
      <c r="EM2212" s="56"/>
      <c r="EN2212" s="56"/>
      <c r="EO2212" s="56"/>
      <c r="EP2212" s="56"/>
      <c r="EQ2212" s="56"/>
      <c r="ER2212" s="56"/>
      <c r="ES2212" s="56"/>
      <c r="ET2212" s="56"/>
      <c r="EU2212" s="56"/>
      <c r="EV2212" s="56"/>
      <c r="EW2212" s="56"/>
      <c r="EX2212" s="56"/>
      <c r="EY2212" s="56"/>
      <c r="EZ2212" s="56"/>
      <c r="FA2212" s="56"/>
      <c r="FB2212" s="56"/>
      <c r="FC2212" s="56"/>
      <c r="FD2212" s="56"/>
      <c r="FE2212" s="56"/>
      <c r="FF2212" s="56"/>
      <c r="FG2212" s="56"/>
      <c r="FH2212" s="56"/>
      <c r="FI2212" s="56"/>
      <c r="FJ2212" s="56"/>
      <c r="FK2212" s="56"/>
      <c r="FL2212" s="56"/>
      <c r="FM2212" s="56"/>
      <c r="FN2212" s="56"/>
      <c r="FO2212" s="56"/>
      <c r="FP2212" s="56"/>
      <c r="FQ2212" s="56"/>
      <c r="FR2212" s="56"/>
      <c r="FS2212" s="56"/>
      <c r="FT2212" s="56"/>
      <c r="FU2212" s="56"/>
      <c r="FV2212" s="56"/>
      <c r="FW2212" s="56"/>
      <c r="FX2212" s="56"/>
      <c r="FY2212" s="56"/>
      <c r="FZ2212" s="56"/>
      <c r="GA2212" s="56"/>
      <c r="GB2212" s="56"/>
      <c r="GC2212" s="56"/>
      <c r="GD2212" s="56"/>
      <c r="GE2212" s="56"/>
      <c r="GF2212" s="56"/>
    </row>
    <row r="2213" spans="1:48" s="18" customFormat="1" ht="15.75" customHeight="1">
      <c r="A2213" s="50"/>
      <c r="B2213" s="93" t="s">
        <v>669</v>
      </c>
      <c r="C2213" s="16"/>
      <c r="D2213" s="52"/>
      <c r="E2213" s="52"/>
      <c r="F2213" s="52"/>
      <c r="G2213" s="52"/>
      <c r="H2213" s="52"/>
      <c r="I2213" s="52"/>
      <c r="J2213" s="52"/>
      <c r="K2213" s="52"/>
      <c r="L2213" s="60">
        <f>L2214</f>
        <v>2</v>
      </c>
      <c r="M2213" s="60" t="str">
        <f>M2214</f>
        <v> -</v>
      </c>
      <c r="N2213" s="60">
        <f>N2214</f>
        <v>3</v>
      </c>
      <c r="O2213" s="60" t="str">
        <f>O2214</f>
        <v> -</v>
      </c>
      <c r="P2213" s="60" t="str">
        <f>P2214</f>
        <v> -</v>
      </c>
      <c r="Q2213" s="23"/>
      <c r="R2213" s="23"/>
      <c r="S2213" s="17"/>
      <c r="T2213" s="47"/>
      <c r="U2213" s="47"/>
      <c r="V2213" s="47"/>
      <c r="W2213" s="47"/>
      <c r="X2213" s="47"/>
      <c r="Y2213" s="47"/>
      <c r="Z2213" s="47"/>
      <c r="AA2213" s="47"/>
      <c r="AB2213" s="47"/>
      <c r="AC2213" s="47"/>
      <c r="AD2213" s="47"/>
      <c r="AE2213" s="47"/>
      <c r="AF2213" s="47"/>
      <c r="AG2213" s="47"/>
      <c r="AH2213" s="47"/>
      <c r="AI2213" s="47"/>
      <c r="AJ2213" s="47"/>
      <c r="AK2213" s="47"/>
      <c r="AL2213" s="47"/>
      <c r="AM2213" s="47"/>
      <c r="AN2213" s="47"/>
      <c r="AO2213" s="47"/>
      <c r="AP2213" s="47"/>
      <c r="AQ2213" s="47"/>
      <c r="AR2213" s="47"/>
      <c r="AS2213" s="47"/>
      <c r="AT2213" s="47"/>
      <c r="AU2213" s="47"/>
      <c r="AV2213" s="47"/>
    </row>
    <row r="2214" spans="1:48" s="18" customFormat="1" ht="15.75" customHeight="1">
      <c r="A2214" s="50"/>
      <c r="B2214" s="97" t="s">
        <v>560</v>
      </c>
      <c r="C2214" s="29" t="s">
        <v>1319</v>
      </c>
      <c r="D2214" s="51"/>
      <c r="E2214" s="51"/>
      <c r="F2214" s="51"/>
      <c r="G2214" s="51"/>
      <c r="H2214" s="51"/>
      <c r="I2214" s="51"/>
      <c r="J2214" s="51"/>
      <c r="K2214" s="51"/>
      <c r="L2214" s="40">
        <v>2</v>
      </c>
      <c r="M2214" s="40" t="s">
        <v>556</v>
      </c>
      <c r="N2214" s="40">
        <v>3</v>
      </c>
      <c r="O2214" s="40" t="s">
        <v>556</v>
      </c>
      <c r="P2214" s="40" t="s">
        <v>556</v>
      </c>
      <c r="Q2214" s="77"/>
      <c r="R2214" s="77"/>
      <c r="S2214" s="78"/>
      <c r="T2214" s="47"/>
      <c r="U2214" s="47"/>
      <c r="V2214" s="47"/>
      <c r="W2214" s="47"/>
      <c r="X2214" s="47"/>
      <c r="Y2214" s="47"/>
      <c r="Z2214" s="47"/>
      <c r="AA2214" s="47"/>
      <c r="AB2214" s="47"/>
      <c r="AC2214" s="47"/>
      <c r="AD2214" s="47"/>
      <c r="AE2214" s="47"/>
      <c r="AF2214" s="47"/>
      <c r="AG2214" s="47"/>
      <c r="AH2214" s="47"/>
      <c r="AI2214" s="47"/>
      <c r="AJ2214" s="47"/>
      <c r="AK2214" s="47"/>
      <c r="AL2214" s="47"/>
      <c r="AM2214" s="47"/>
      <c r="AN2214" s="47"/>
      <c r="AO2214" s="47"/>
      <c r="AP2214" s="47"/>
      <c r="AQ2214" s="47"/>
      <c r="AR2214" s="47"/>
      <c r="AS2214" s="47"/>
      <c r="AT2214" s="47"/>
      <c r="AU2214" s="47"/>
      <c r="AV2214" s="47"/>
    </row>
    <row r="2215" spans="1:48" s="18" customFormat="1" ht="15.75" customHeight="1">
      <c r="A2215" s="50"/>
      <c r="B2215" s="93" t="s">
        <v>670</v>
      </c>
      <c r="C2215" s="15"/>
      <c r="D2215" s="51"/>
      <c r="E2215" s="51"/>
      <c r="F2215" s="51"/>
      <c r="G2215" s="51"/>
      <c r="H2215" s="51"/>
      <c r="I2215" s="51"/>
      <c r="J2215" s="51"/>
      <c r="K2215" s="51"/>
      <c r="L2215" s="60" t="s">
        <v>556</v>
      </c>
      <c r="M2215" s="60" t="s">
        <v>556</v>
      </c>
      <c r="N2215" s="60">
        <v>1</v>
      </c>
      <c r="O2215" s="60" t="s">
        <v>556</v>
      </c>
      <c r="P2215" s="60" t="s">
        <v>556</v>
      </c>
      <c r="Q2215" s="77"/>
      <c r="R2215" s="77"/>
      <c r="S2215" s="78"/>
      <c r="T2215" s="47"/>
      <c r="U2215" s="47"/>
      <c r="V2215" s="47"/>
      <c r="W2215" s="47"/>
      <c r="X2215" s="47"/>
      <c r="Y2215" s="47"/>
      <c r="Z2215" s="47"/>
      <c r="AA2215" s="47"/>
      <c r="AB2215" s="47"/>
      <c r="AC2215" s="47"/>
      <c r="AD2215" s="47"/>
      <c r="AE2215" s="47"/>
      <c r="AF2215" s="47"/>
      <c r="AG2215" s="47"/>
      <c r="AH2215" s="47"/>
      <c r="AI2215" s="47"/>
      <c r="AJ2215" s="47"/>
      <c r="AK2215" s="47"/>
      <c r="AL2215" s="47"/>
      <c r="AM2215" s="47"/>
      <c r="AN2215" s="47"/>
      <c r="AO2215" s="47"/>
      <c r="AP2215" s="47"/>
      <c r="AQ2215" s="47"/>
      <c r="AR2215" s="47"/>
      <c r="AS2215" s="47"/>
      <c r="AT2215" s="47"/>
      <c r="AU2215" s="47"/>
      <c r="AV2215" s="47"/>
    </row>
    <row r="2216" spans="1:48" s="18" customFormat="1" ht="15.75" customHeight="1">
      <c r="A2216" s="50"/>
      <c r="B2216" s="105" t="s">
        <v>133</v>
      </c>
      <c r="C2216" s="15" t="s">
        <v>134</v>
      </c>
      <c r="D2216" s="51"/>
      <c r="E2216" s="51"/>
      <c r="F2216" s="51">
        <v>3</v>
      </c>
      <c r="G2216" s="51">
        <v>9</v>
      </c>
      <c r="H2216" s="51">
        <v>9</v>
      </c>
      <c r="I2216" s="51">
        <v>9</v>
      </c>
      <c r="J2216" s="51">
        <v>9</v>
      </c>
      <c r="K2216" s="51">
        <v>9</v>
      </c>
      <c r="L2216" s="40" t="s">
        <v>556</v>
      </c>
      <c r="M2216" s="40" t="s">
        <v>556</v>
      </c>
      <c r="N2216" s="40">
        <v>1</v>
      </c>
      <c r="O2216" s="40" t="s">
        <v>556</v>
      </c>
      <c r="P2216" s="40" t="s">
        <v>556</v>
      </c>
      <c r="Q2216" s="77"/>
      <c r="R2216" s="77"/>
      <c r="S2216" s="78"/>
      <c r="T2216" s="47"/>
      <c r="U2216" s="47"/>
      <c r="V2216" s="47"/>
      <c r="W2216" s="47"/>
      <c r="X2216" s="47"/>
      <c r="Y2216" s="47"/>
      <c r="Z2216" s="47"/>
      <c r="AA2216" s="47"/>
      <c r="AB2216" s="47"/>
      <c r="AC2216" s="47"/>
      <c r="AD2216" s="47"/>
      <c r="AE2216" s="47"/>
      <c r="AF2216" s="47"/>
      <c r="AG2216" s="47"/>
      <c r="AH2216" s="47"/>
      <c r="AI2216" s="47"/>
      <c r="AJ2216" s="47"/>
      <c r="AK2216" s="47"/>
      <c r="AL2216" s="47"/>
      <c r="AM2216" s="47"/>
      <c r="AN2216" s="47"/>
      <c r="AO2216" s="47"/>
      <c r="AP2216" s="47"/>
      <c r="AQ2216" s="47"/>
      <c r="AR2216" s="47"/>
      <c r="AS2216" s="47"/>
      <c r="AT2216" s="47"/>
      <c r="AU2216" s="47"/>
      <c r="AV2216" s="47"/>
    </row>
    <row r="2217" spans="1:48" s="18" customFormat="1" ht="15.75" customHeight="1">
      <c r="A2217" s="50"/>
      <c r="B2217" s="93" t="s">
        <v>37</v>
      </c>
      <c r="C2217" s="16"/>
      <c r="D2217" s="51"/>
      <c r="E2217" s="51"/>
      <c r="F2217" s="51"/>
      <c r="G2217" s="51"/>
      <c r="H2217" s="51"/>
      <c r="I2217" s="51"/>
      <c r="J2217" s="51"/>
      <c r="K2217" s="51"/>
      <c r="L2217" s="60">
        <f>SUM(L2218:L2219)</f>
        <v>1</v>
      </c>
      <c r="M2217" s="60">
        <f>SUM(M2218:M2219)</f>
        <v>1</v>
      </c>
      <c r="N2217" s="60" t="str">
        <f>N2218</f>
        <v> -</v>
      </c>
      <c r="O2217" s="60">
        <f>SUM(O2218:O2219)</f>
        <v>2</v>
      </c>
      <c r="P2217" s="60" t="str">
        <f>P2218</f>
        <v> -</v>
      </c>
      <c r="Q2217" s="23"/>
      <c r="R2217" s="23"/>
      <c r="S2217" s="17"/>
      <c r="T2217" s="47"/>
      <c r="U2217" s="47"/>
      <c r="V2217" s="47"/>
      <c r="W2217" s="47"/>
      <c r="X2217" s="47"/>
      <c r="Y2217" s="47"/>
      <c r="Z2217" s="47"/>
      <c r="AA2217" s="47"/>
      <c r="AB2217" s="47"/>
      <c r="AC2217" s="47"/>
      <c r="AD2217" s="47"/>
      <c r="AE2217" s="47"/>
      <c r="AF2217" s="47"/>
      <c r="AG2217" s="47"/>
      <c r="AH2217" s="47"/>
      <c r="AI2217" s="47"/>
      <c r="AJ2217" s="47"/>
      <c r="AK2217" s="47"/>
      <c r="AL2217" s="47"/>
      <c r="AM2217" s="47"/>
      <c r="AN2217" s="47"/>
      <c r="AO2217" s="47"/>
      <c r="AP2217" s="47"/>
      <c r="AQ2217" s="47"/>
      <c r="AR2217" s="47"/>
      <c r="AS2217" s="47"/>
      <c r="AT2217" s="47"/>
      <c r="AU2217" s="47"/>
      <c r="AV2217" s="47"/>
    </row>
    <row r="2218" spans="1:48" s="18" customFormat="1" ht="15.75" customHeight="1">
      <c r="A2218" s="50"/>
      <c r="B2218" s="97" t="s">
        <v>38</v>
      </c>
      <c r="C2218" s="66" t="s">
        <v>457</v>
      </c>
      <c r="D2218" s="51"/>
      <c r="E2218" s="51"/>
      <c r="F2218" s="51"/>
      <c r="G2218" s="51">
        <v>1</v>
      </c>
      <c r="H2218" s="51">
        <v>2</v>
      </c>
      <c r="I2218" s="51">
        <v>2</v>
      </c>
      <c r="J2218" s="51">
        <v>2</v>
      </c>
      <c r="K2218" s="51">
        <v>3</v>
      </c>
      <c r="L2218" s="40">
        <v>1</v>
      </c>
      <c r="M2218" s="40" t="s">
        <v>556</v>
      </c>
      <c r="N2218" s="40" t="s">
        <v>556</v>
      </c>
      <c r="O2218" s="40">
        <v>1</v>
      </c>
      <c r="P2218" s="40" t="s">
        <v>556</v>
      </c>
      <c r="Q2218" s="77"/>
      <c r="R2218" s="77"/>
      <c r="S2218" s="78"/>
      <c r="T2218" s="47"/>
      <c r="U2218" s="47"/>
      <c r="V2218" s="47"/>
      <c r="W2218" s="47"/>
      <c r="X2218" s="47"/>
      <c r="Y2218" s="47"/>
      <c r="Z2218" s="47"/>
      <c r="AA2218" s="47"/>
      <c r="AB2218" s="47"/>
      <c r="AC2218" s="47"/>
      <c r="AD2218" s="47"/>
      <c r="AE2218" s="47"/>
      <c r="AF2218" s="47"/>
      <c r="AG2218" s="47"/>
      <c r="AH2218" s="47"/>
      <c r="AI2218" s="47"/>
      <c r="AJ2218" s="47"/>
      <c r="AK2218" s="47"/>
      <c r="AL2218" s="47"/>
      <c r="AM2218" s="47"/>
      <c r="AN2218" s="47"/>
      <c r="AO2218" s="47"/>
      <c r="AP2218" s="47"/>
      <c r="AQ2218" s="47"/>
      <c r="AR2218" s="47"/>
      <c r="AS2218" s="47"/>
      <c r="AT2218" s="47"/>
      <c r="AU2218" s="47"/>
      <c r="AV2218" s="47"/>
    </row>
    <row r="2219" spans="1:48" s="18" customFormat="1" ht="15.75" customHeight="1">
      <c r="A2219" s="50"/>
      <c r="B2219" s="97" t="s">
        <v>637</v>
      </c>
      <c r="C2219" s="15" t="s">
        <v>638</v>
      </c>
      <c r="D2219" s="51"/>
      <c r="E2219" s="51"/>
      <c r="F2219" s="51"/>
      <c r="G2219" s="51"/>
      <c r="H2219" s="51"/>
      <c r="I2219" s="51"/>
      <c r="J2219" s="51"/>
      <c r="K2219" s="51"/>
      <c r="L2219" s="40" t="s">
        <v>556</v>
      </c>
      <c r="M2219" s="40">
        <v>1</v>
      </c>
      <c r="N2219" s="40" t="s">
        <v>556</v>
      </c>
      <c r="O2219" s="40">
        <v>1</v>
      </c>
      <c r="P2219" s="40" t="s">
        <v>556</v>
      </c>
      <c r="Q2219" s="77"/>
      <c r="R2219" s="77"/>
      <c r="S2219" s="78"/>
      <c r="T2219" s="47"/>
      <c r="U2219" s="47"/>
      <c r="V2219" s="47"/>
      <c r="W2219" s="47"/>
      <c r="X2219" s="47"/>
      <c r="Y2219" s="47"/>
      <c r="Z2219" s="47"/>
      <c r="AA2219" s="47"/>
      <c r="AB2219" s="47"/>
      <c r="AC2219" s="47"/>
      <c r="AD2219" s="47"/>
      <c r="AE2219" s="47"/>
      <c r="AF2219" s="47"/>
      <c r="AG2219" s="47"/>
      <c r="AH2219" s="47"/>
      <c r="AI2219" s="47"/>
      <c r="AJ2219" s="47"/>
      <c r="AK2219" s="47"/>
      <c r="AL2219" s="47"/>
      <c r="AM2219" s="47"/>
      <c r="AN2219" s="47"/>
      <c r="AO2219" s="47"/>
      <c r="AP2219" s="47"/>
      <c r="AQ2219" s="47"/>
      <c r="AR2219" s="47"/>
      <c r="AS2219" s="47"/>
      <c r="AT2219" s="47"/>
      <c r="AU2219" s="47"/>
      <c r="AV2219" s="47"/>
    </row>
    <row r="2220" spans="1:188" s="57" customFormat="1" ht="15.75" customHeight="1">
      <c r="A2220" s="13">
        <v>17</v>
      </c>
      <c r="B2220" s="92" t="s">
        <v>951</v>
      </c>
      <c r="C2220" s="45"/>
      <c r="D2220" s="44">
        <v>66</v>
      </c>
      <c r="E2220" s="44">
        <v>1</v>
      </c>
      <c r="F2220" s="44"/>
      <c r="G2220" s="44">
        <v>10</v>
      </c>
      <c r="H2220" s="44">
        <v>12</v>
      </c>
      <c r="I2220" s="44">
        <v>15</v>
      </c>
      <c r="J2220" s="44">
        <v>15</v>
      </c>
      <c r="K2220" s="44">
        <v>16</v>
      </c>
      <c r="L2220" s="44">
        <f>SUM(L2221,L2225,L2227)</f>
        <v>12</v>
      </c>
      <c r="M2220" s="44" t="s">
        <v>556</v>
      </c>
      <c r="N2220" s="44">
        <f>SUM(N2221,N2225,N2227)</f>
        <v>12</v>
      </c>
      <c r="O2220" s="44" t="s">
        <v>556</v>
      </c>
      <c r="P2220" s="44" t="s">
        <v>556</v>
      </c>
      <c r="Q2220" s="54" t="s">
        <v>649</v>
      </c>
      <c r="R2220" s="54">
        <v>7</v>
      </c>
      <c r="S2220" s="55" t="s">
        <v>590</v>
      </c>
      <c r="T2220" s="56"/>
      <c r="U2220" s="56"/>
      <c r="V2220" s="56"/>
      <c r="W2220" s="56"/>
      <c r="X2220" s="56"/>
      <c r="Y2220" s="56"/>
      <c r="Z2220" s="56"/>
      <c r="AA2220" s="56"/>
      <c r="AB2220" s="56"/>
      <c r="AC2220" s="56"/>
      <c r="AD2220" s="56"/>
      <c r="AE2220" s="56"/>
      <c r="AF2220" s="56"/>
      <c r="AG2220" s="56"/>
      <c r="AH2220" s="56"/>
      <c r="AI2220" s="56"/>
      <c r="AJ2220" s="56"/>
      <c r="AK2220" s="56"/>
      <c r="AL2220" s="56"/>
      <c r="AM2220" s="56"/>
      <c r="AN2220" s="56"/>
      <c r="AO2220" s="56"/>
      <c r="AP2220" s="56"/>
      <c r="AQ2220" s="56"/>
      <c r="AR2220" s="56"/>
      <c r="AS2220" s="56"/>
      <c r="AT2220" s="56"/>
      <c r="AU2220" s="56"/>
      <c r="AV2220" s="56"/>
      <c r="AW2220" s="56"/>
      <c r="AX2220" s="56"/>
      <c r="AY2220" s="56"/>
      <c r="AZ2220" s="56"/>
      <c r="BA2220" s="56"/>
      <c r="BB2220" s="56"/>
      <c r="BC2220" s="56"/>
      <c r="BD2220" s="56"/>
      <c r="BE2220" s="56"/>
      <c r="BF2220" s="56"/>
      <c r="BG2220" s="56"/>
      <c r="BH2220" s="56"/>
      <c r="BI2220" s="56"/>
      <c r="BJ2220" s="56"/>
      <c r="BK2220" s="56"/>
      <c r="BL2220" s="56"/>
      <c r="BM2220" s="56"/>
      <c r="BN2220" s="56"/>
      <c r="BO2220" s="56"/>
      <c r="BP2220" s="56"/>
      <c r="BQ2220" s="56"/>
      <c r="BR2220" s="56"/>
      <c r="BS2220" s="56"/>
      <c r="BT2220" s="56"/>
      <c r="BU2220" s="56"/>
      <c r="BV2220" s="56"/>
      <c r="BW2220" s="56"/>
      <c r="BX2220" s="56"/>
      <c r="BY2220" s="56"/>
      <c r="BZ2220" s="56"/>
      <c r="CA2220" s="56"/>
      <c r="CB2220" s="56"/>
      <c r="CC2220" s="56"/>
      <c r="CD2220" s="56"/>
      <c r="CE2220" s="56"/>
      <c r="CF2220" s="56"/>
      <c r="CG2220" s="56"/>
      <c r="CH2220" s="56"/>
      <c r="CI2220" s="56"/>
      <c r="CJ2220" s="56"/>
      <c r="CK2220" s="56"/>
      <c r="CL2220" s="56"/>
      <c r="CM2220" s="56"/>
      <c r="CN2220" s="56"/>
      <c r="CO2220" s="56"/>
      <c r="CP2220" s="56"/>
      <c r="CQ2220" s="56"/>
      <c r="CR2220" s="56"/>
      <c r="CS2220" s="56"/>
      <c r="CT2220" s="56"/>
      <c r="CU2220" s="56"/>
      <c r="CV2220" s="56"/>
      <c r="CW2220" s="56"/>
      <c r="CX2220" s="56"/>
      <c r="CY2220" s="56"/>
      <c r="CZ2220" s="56"/>
      <c r="DA2220" s="56"/>
      <c r="DB2220" s="56"/>
      <c r="DC2220" s="56"/>
      <c r="DD2220" s="56"/>
      <c r="DE2220" s="56"/>
      <c r="DF2220" s="56"/>
      <c r="DG2220" s="56"/>
      <c r="DH2220" s="56"/>
      <c r="DI2220" s="56"/>
      <c r="DJ2220" s="56"/>
      <c r="DK2220" s="56"/>
      <c r="DL2220" s="56"/>
      <c r="DM2220" s="56"/>
      <c r="DN2220" s="56"/>
      <c r="DO2220" s="56"/>
      <c r="DP2220" s="56"/>
      <c r="DQ2220" s="56"/>
      <c r="DR2220" s="56"/>
      <c r="DS2220" s="56"/>
      <c r="DT2220" s="56"/>
      <c r="DU2220" s="56"/>
      <c r="DV2220" s="56"/>
      <c r="DW2220" s="56"/>
      <c r="DX2220" s="56"/>
      <c r="DY2220" s="56"/>
      <c r="DZ2220" s="56"/>
      <c r="EA2220" s="56"/>
      <c r="EB2220" s="56"/>
      <c r="EC2220" s="56"/>
      <c r="ED2220" s="56"/>
      <c r="EE2220" s="56"/>
      <c r="EF2220" s="56"/>
      <c r="EG2220" s="56"/>
      <c r="EH2220" s="56"/>
      <c r="EI2220" s="56"/>
      <c r="EJ2220" s="56"/>
      <c r="EK2220" s="56"/>
      <c r="EL2220" s="56"/>
      <c r="EM2220" s="56"/>
      <c r="EN2220" s="56"/>
      <c r="EO2220" s="56"/>
      <c r="EP2220" s="56"/>
      <c r="EQ2220" s="56"/>
      <c r="ER2220" s="56"/>
      <c r="ES2220" s="56"/>
      <c r="ET2220" s="56"/>
      <c r="EU2220" s="56"/>
      <c r="EV2220" s="56"/>
      <c r="EW2220" s="56"/>
      <c r="EX2220" s="56"/>
      <c r="EY2220" s="56"/>
      <c r="EZ2220" s="56"/>
      <c r="FA2220" s="56"/>
      <c r="FB2220" s="56"/>
      <c r="FC2220" s="56"/>
      <c r="FD2220" s="56"/>
      <c r="FE2220" s="56"/>
      <c r="FF2220" s="56"/>
      <c r="FG2220" s="56"/>
      <c r="FH2220" s="56"/>
      <c r="FI2220" s="56"/>
      <c r="FJ2220" s="56"/>
      <c r="FK2220" s="56"/>
      <c r="FL2220" s="56"/>
      <c r="FM2220" s="56"/>
      <c r="FN2220" s="56"/>
      <c r="FO2220" s="56"/>
      <c r="FP2220" s="56"/>
      <c r="FQ2220" s="56"/>
      <c r="FR2220" s="56"/>
      <c r="FS2220" s="56"/>
      <c r="FT2220" s="56"/>
      <c r="FU2220" s="56"/>
      <c r="FV2220" s="56"/>
      <c r="FW2220" s="56"/>
      <c r="FX2220" s="56"/>
      <c r="FY2220" s="56"/>
      <c r="FZ2220" s="56"/>
      <c r="GA2220" s="56"/>
      <c r="GB2220" s="56"/>
      <c r="GC2220" s="56"/>
      <c r="GD2220" s="56"/>
      <c r="GE2220" s="56"/>
      <c r="GF2220" s="56"/>
    </row>
    <row r="2221" spans="1:48" s="18" customFormat="1" ht="15.75" customHeight="1">
      <c r="A2221" s="50"/>
      <c r="B2221" s="93" t="s">
        <v>669</v>
      </c>
      <c r="C2221" s="16"/>
      <c r="D2221" s="52"/>
      <c r="E2221" s="52"/>
      <c r="F2221" s="52"/>
      <c r="G2221" s="52"/>
      <c r="H2221" s="52"/>
      <c r="I2221" s="52"/>
      <c r="J2221" s="52"/>
      <c r="K2221" s="52"/>
      <c r="L2221" s="60">
        <f>SUM(L2222:L2224)</f>
        <v>6</v>
      </c>
      <c r="M2221" s="60" t="str">
        <f>M2222</f>
        <v> -</v>
      </c>
      <c r="N2221" s="60">
        <f>SUM(N2222:N2224)</f>
        <v>5</v>
      </c>
      <c r="O2221" s="60" t="str">
        <f>O2222</f>
        <v> -</v>
      </c>
      <c r="P2221" s="60" t="str">
        <f>P2222</f>
        <v> -</v>
      </c>
      <c r="Q2221" s="23"/>
      <c r="R2221" s="23"/>
      <c r="S2221" s="17"/>
      <c r="T2221" s="47"/>
      <c r="U2221" s="47"/>
      <c r="V2221" s="47"/>
      <c r="W2221" s="47"/>
      <c r="X2221" s="47"/>
      <c r="Y2221" s="47"/>
      <c r="Z2221" s="47"/>
      <c r="AA2221" s="47"/>
      <c r="AB2221" s="47"/>
      <c r="AC2221" s="47"/>
      <c r="AD2221" s="47"/>
      <c r="AE2221" s="47"/>
      <c r="AF2221" s="47"/>
      <c r="AG2221" s="47"/>
      <c r="AH2221" s="47"/>
      <c r="AI2221" s="47"/>
      <c r="AJ2221" s="47"/>
      <c r="AK2221" s="47"/>
      <c r="AL2221" s="47"/>
      <c r="AM2221" s="47"/>
      <c r="AN2221" s="47"/>
      <c r="AO2221" s="47"/>
      <c r="AP2221" s="47"/>
      <c r="AQ2221" s="47"/>
      <c r="AR2221" s="47"/>
      <c r="AS2221" s="47"/>
      <c r="AT2221" s="47"/>
      <c r="AU2221" s="47"/>
      <c r="AV2221" s="47"/>
    </row>
    <row r="2222" spans="1:48" s="18" customFormat="1" ht="15.75" customHeight="1">
      <c r="A2222" s="50"/>
      <c r="B2222" s="97" t="s">
        <v>411</v>
      </c>
      <c r="C2222" s="15" t="s">
        <v>412</v>
      </c>
      <c r="D2222" s="51"/>
      <c r="E2222" s="51"/>
      <c r="F2222" s="51"/>
      <c r="G2222" s="51"/>
      <c r="H2222" s="51"/>
      <c r="I2222" s="51"/>
      <c r="J2222" s="51"/>
      <c r="K2222" s="51"/>
      <c r="L2222" s="40">
        <v>4</v>
      </c>
      <c r="M2222" s="40" t="s">
        <v>556</v>
      </c>
      <c r="N2222" s="40">
        <v>4</v>
      </c>
      <c r="O2222" s="40" t="s">
        <v>556</v>
      </c>
      <c r="P2222" s="40" t="s">
        <v>556</v>
      </c>
      <c r="Q2222" s="77"/>
      <c r="R2222" s="77"/>
      <c r="S2222" s="78"/>
      <c r="T2222" s="47"/>
      <c r="U2222" s="47"/>
      <c r="V2222" s="47"/>
      <c r="W2222" s="47"/>
      <c r="X2222" s="47"/>
      <c r="Y2222" s="47"/>
      <c r="Z2222" s="47"/>
      <c r="AA2222" s="47"/>
      <c r="AB2222" s="47"/>
      <c r="AC2222" s="47"/>
      <c r="AD2222" s="47"/>
      <c r="AE2222" s="47"/>
      <c r="AF2222" s="47"/>
      <c r="AG2222" s="47"/>
      <c r="AH2222" s="47"/>
      <c r="AI2222" s="47"/>
      <c r="AJ2222" s="47"/>
      <c r="AK2222" s="47"/>
      <c r="AL2222" s="47"/>
      <c r="AM2222" s="47"/>
      <c r="AN2222" s="47"/>
      <c r="AO2222" s="47"/>
      <c r="AP2222" s="47"/>
      <c r="AQ2222" s="47"/>
      <c r="AR2222" s="47"/>
      <c r="AS2222" s="47"/>
      <c r="AT2222" s="47"/>
      <c r="AU2222" s="47"/>
      <c r="AV2222" s="47"/>
    </row>
    <row r="2223" spans="1:48" s="18" customFormat="1" ht="15.75" customHeight="1">
      <c r="A2223" s="50"/>
      <c r="B2223" s="97" t="s">
        <v>460</v>
      </c>
      <c r="C2223" s="29" t="s">
        <v>544</v>
      </c>
      <c r="D2223" s="51"/>
      <c r="E2223" s="51"/>
      <c r="F2223" s="51"/>
      <c r="G2223" s="51"/>
      <c r="H2223" s="51"/>
      <c r="I2223" s="51"/>
      <c r="J2223" s="51"/>
      <c r="K2223" s="51"/>
      <c r="L2223" s="40">
        <v>1</v>
      </c>
      <c r="M2223" s="40" t="s">
        <v>556</v>
      </c>
      <c r="N2223" s="40">
        <v>1</v>
      </c>
      <c r="O2223" s="40" t="s">
        <v>556</v>
      </c>
      <c r="P2223" s="40" t="s">
        <v>556</v>
      </c>
      <c r="Q2223" s="77"/>
      <c r="R2223" s="77"/>
      <c r="S2223" s="78"/>
      <c r="T2223" s="47"/>
      <c r="U2223" s="47"/>
      <c r="V2223" s="47"/>
      <c r="W2223" s="47"/>
      <c r="X2223" s="47"/>
      <c r="Y2223" s="47"/>
      <c r="Z2223" s="47"/>
      <c r="AA2223" s="47"/>
      <c r="AB2223" s="47"/>
      <c r="AC2223" s="47"/>
      <c r="AD2223" s="47"/>
      <c r="AE2223" s="47"/>
      <c r="AF2223" s="47"/>
      <c r="AG2223" s="47"/>
      <c r="AH2223" s="47"/>
      <c r="AI2223" s="47"/>
      <c r="AJ2223" s="47"/>
      <c r="AK2223" s="47"/>
      <c r="AL2223" s="47"/>
      <c r="AM2223" s="47"/>
      <c r="AN2223" s="47"/>
      <c r="AO2223" s="47"/>
      <c r="AP2223" s="47"/>
      <c r="AQ2223" s="47"/>
      <c r="AR2223" s="47"/>
      <c r="AS2223" s="47"/>
      <c r="AT2223" s="47"/>
      <c r="AU2223" s="47"/>
      <c r="AV2223" s="47"/>
    </row>
    <row r="2224" spans="1:48" s="18" customFormat="1" ht="15.75" customHeight="1">
      <c r="A2224" s="50"/>
      <c r="B2224" s="105" t="s">
        <v>464</v>
      </c>
      <c r="C2224" s="15" t="s">
        <v>465</v>
      </c>
      <c r="D2224" s="51"/>
      <c r="E2224" s="51"/>
      <c r="F2224" s="51"/>
      <c r="G2224" s="51"/>
      <c r="H2224" s="51"/>
      <c r="I2224" s="51"/>
      <c r="J2224" s="51"/>
      <c r="K2224" s="51"/>
      <c r="L2224" s="40">
        <v>1</v>
      </c>
      <c r="M2224" s="40" t="s">
        <v>556</v>
      </c>
      <c r="N2224" s="40" t="s">
        <v>556</v>
      </c>
      <c r="O2224" s="40" t="s">
        <v>556</v>
      </c>
      <c r="P2224" s="40" t="s">
        <v>556</v>
      </c>
      <c r="Q2224" s="77"/>
      <c r="R2224" s="77"/>
      <c r="S2224" s="78"/>
      <c r="T2224" s="47"/>
      <c r="U2224" s="47"/>
      <c r="V2224" s="47"/>
      <c r="W2224" s="47"/>
      <c r="X2224" s="47"/>
      <c r="Y2224" s="47"/>
      <c r="Z2224" s="47"/>
      <c r="AA2224" s="47"/>
      <c r="AB2224" s="47"/>
      <c r="AC2224" s="47"/>
      <c r="AD2224" s="47"/>
      <c r="AE2224" s="47"/>
      <c r="AF2224" s="47"/>
      <c r="AG2224" s="47"/>
      <c r="AH2224" s="47"/>
      <c r="AI2224" s="47"/>
      <c r="AJ2224" s="47"/>
      <c r="AK2224" s="47"/>
      <c r="AL2224" s="47"/>
      <c r="AM2224" s="47"/>
      <c r="AN2224" s="47"/>
      <c r="AO2224" s="47"/>
      <c r="AP2224" s="47"/>
      <c r="AQ2224" s="47"/>
      <c r="AR2224" s="47"/>
      <c r="AS2224" s="47"/>
      <c r="AT2224" s="47"/>
      <c r="AU2224" s="47"/>
      <c r="AV2224" s="47"/>
    </row>
    <row r="2225" spans="1:48" s="18" customFormat="1" ht="15.75" customHeight="1">
      <c r="A2225" s="50"/>
      <c r="B2225" s="93" t="s">
        <v>670</v>
      </c>
      <c r="C2225" s="15"/>
      <c r="D2225" s="51"/>
      <c r="E2225" s="51"/>
      <c r="F2225" s="51"/>
      <c r="G2225" s="51"/>
      <c r="H2225" s="51"/>
      <c r="I2225" s="51"/>
      <c r="J2225" s="51"/>
      <c r="K2225" s="51"/>
      <c r="L2225" s="60">
        <f>L2226</f>
        <v>2</v>
      </c>
      <c r="M2225" s="60" t="s">
        <v>556</v>
      </c>
      <c r="N2225" s="60">
        <f>N2226</f>
        <v>2</v>
      </c>
      <c r="O2225" s="60" t="s">
        <v>556</v>
      </c>
      <c r="P2225" s="60" t="s">
        <v>556</v>
      </c>
      <c r="Q2225" s="77"/>
      <c r="R2225" s="77"/>
      <c r="S2225" s="78"/>
      <c r="T2225" s="47"/>
      <c r="U2225" s="47"/>
      <c r="V2225" s="47"/>
      <c r="W2225" s="47"/>
      <c r="X2225" s="47"/>
      <c r="Y2225" s="47"/>
      <c r="Z2225" s="47"/>
      <c r="AA2225" s="47"/>
      <c r="AB2225" s="47"/>
      <c r="AC2225" s="47"/>
      <c r="AD2225" s="47"/>
      <c r="AE2225" s="47"/>
      <c r="AF2225" s="47"/>
      <c r="AG2225" s="47"/>
      <c r="AH2225" s="47"/>
      <c r="AI2225" s="47"/>
      <c r="AJ2225" s="47"/>
      <c r="AK2225" s="47"/>
      <c r="AL2225" s="47"/>
      <c r="AM2225" s="47"/>
      <c r="AN2225" s="47"/>
      <c r="AO2225" s="47"/>
      <c r="AP2225" s="47"/>
      <c r="AQ2225" s="47"/>
      <c r="AR2225" s="47"/>
      <c r="AS2225" s="47"/>
      <c r="AT2225" s="47"/>
      <c r="AU2225" s="47"/>
      <c r="AV2225" s="47"/>
    </row>
    <row r="2226" spans="1:48" s="18" customFormat="1" ht="15.75" customHeight="1">
      <c r="A2226" s="50"/>
      <c r="B2226" s="97" t="s">
        <v>403</v>
      </c>
      <c r="C2226" s="15" t="s">
        <v>404</v>
      </c>
      <c r="D2226" s="51"/>
      <c r="E2226" s="51"/>
      <c r="F2226" s="51">
        <v>3</v>
      </c>
      <c r="G2226" s="51">
        <v>9</v>
      </c>
      <c r="H2226" s="51">
        <v>9</v>
      </c>
      <c r="I2226" s="51">
        <v>9</v>
      </c>
      <c r="J2226" s="51">
        <v>9</v>
      </c>
      <c r="K2226" s="51">
        <v>9</v>
      </c>
      <c r="L2226" s="40">
        <v>2</v>
      </c>
      <c r="M2226" s="40" t="s">
        <v>556</v>
      </c>
      <c r="N2226" s="40">
        <v>2</v>
      </c>
      <c r="O2226" s="40" t="s">
        <v>556</v>
      </c>
      <c r="P2226" s="40" t="s">
        <v>556</v>
      </c>
      <c r="Q2226" s="77"/>
      <c r="R2226" s="77"/>
      <c r="S2226" s="78"/>
      <c r="T2226" s="47"/>
      <c r="U2226" s="47"/>
      <c r="V2226" s="47"/>
      <c r="W2226" s="47"/>
      <c r="X2226" s="47"/>
      <c r="Y2226" s="47"/>
      <c r="Z2226" s="47"/>
      <c r="AA2226" s="47"/>
      <c r="AB2226" s="47"/>
      <c r="AC2226" s="47"/>
      <c r="AD2226" s="47"/>
      <c r="AE2226" s="47"/>
      <c r="AF2226" s="47"/>
      <c r="AG2226" s="47"/>
      <c r="AH2226" s="47"/>
      <c r="AI2226" s="47"/>
      <c r="AJ2226" s="47"/>
      <c r="AK2226" s="47"/>
      <c r="AL2226" s="47"/>
      <c r="AM2226" s="47"/>
      <c r="AN2226" s="47"/>
      <c r="AO2226" s="47"/>
      <c r="AP2226" s="47"/>
      <c r="AQ2226" s="47"/>
      <c r="AR2226" s="47"/>
      <c r="AS2226" s="47"/>
      <c r="AT2226" s="47"/>
      <c r="AU2226" s="47"/>
      <c r="AV2226" s="47"/>
    </row>
    <row r="2227" spans="1:48" s="18" customFormat="1" ht="15.75" customHeight="1">
      <c r="A2227" s="50"/>
      <c r="B2227" s="93" t="s">
        <v>37</v>
      </c>
      <c r="C2227" s="16"/>
      <c r="D2227" s="51"/>
      <c r="E2227" s="51"/>
      <c r="F2227" s="51"/>
      <c r="G2227" s="51"/>
      <c r="H2227" s="51"/>
      <c r="I2227" s="51"/>
      <c r="J2227" s="51"/>
      <c r="K2227" s="51"/>
      <c r="L2227" s="60">
        <f>SUM(L2228:L2229)</f>
        <v>4</v>
      </c>
      <c r="M2227" s="60" t="s">
        <v>556</v>
      </c>
      <c r="N2227" s="60">
        <f>SUM(N2228:N2229)</f>
        <v>5</v>
      </c>
      <c r="O2227" s="60" t="s">
        <v>556</v>
      </c>
      <c r="P2227" s="60" t="str">
        <f>P2228</f>
        <v> -</v>
      </c>
      <c r="Q2227" s="23"/>
      <c r="R2227" s="23"/>
      <c r="S2227" s="17"/>
      <c r="T2227" s="47"/>
      <c r="U2227" s="47"/>
      <c r="V2227" s="47"/>
      <c r="W2227" s="47"/>
      <c r="X2227" s="47"/>
      <c r="Y2227" s="47"/>
      <c r="Z2227" s="47"/>
      <c r="AA2227" s="47"/>
      <c r="AB2227" s="47"/>
      <c r="AC2227" s="47"/>
      <c r="AD2227" s="47"/>
      <c r="AE2227" s="47"/>
      <c r="AF2227" s="47"/>
      <c r="AG2227" s="47"/>
      <c r="AH2227" s="47"/>
      <c r="AI2227" s="47"/>
      <c r="AJ2227" s="47"/>
      <c r="AK2227" s="47"/>
      <c r="AL2227" s="47"/>
      <c r="AM2227" s="47"/>
      <c r="AN2227" s="47"/>
      <c r="AO2227" s="47"/>
      <c r="AP2227" s="47"/>
      <c r="AQ2227" s="47"/>
      <c r="AR2227" s="47"/>
      <c r="AS2227" s="47"/>
      <c r="AT2227" s="47"/>
      <c r="AU2227" s="47"/>
      <c r="AV2227" s="47"/>
    </row>
    <row r="2228" spans="1:48" s="18" customFormat="1" ht="15.75" customHeight="1">
      <c r="A2228" s="50"/>
      <c r="B2228" s="97" t="s">
        <v>38</v>
      </c>
      <c r="C2228" s="66" t="s">
        <v>457</v>
      </c>
      <c r="D2228" s="51"/>
      <c r="E2228" s="51"/>
      <c r="F2228" s="51"/>
      <c r="G2228" s="51">
        <v>1</v>
      </c>
      <c r="H2228" s="51">
        <v>2</v>
      </c>
      <c r="I2228" s="51">
        <v>2</v>
      </c>
      <c r="J2228" s="51">
        <v>2</v>
      </c>
      <c r="K2228" s="51">
        <v>3</v>
      </c>
      <c r="L2228" s="40">
        <v>1</v>
      </c>
      <c r="M2228" s="40" t="s">
        <v>556</v>
      </c>
      <c r="N2228" s="40">
        <v>1</v>
      </c>
      <c r="O2228" s="40" t="s">
        <v>556</v>
      </c>
      <c r="P2228" s="40" t="s">
        <v>556</v>
      </c>
      <c r="Q2228" s="77"/>
      <c r="R2228" s="77"/>
      <c r="S2228" s="78"/>
      <c r="T2228" s="47"/>
      <c r="U2228" s="47"/>
      <c r="V2228" s="47"/>
      <c r="W2228" s="47"/>
      <c r="X2228" s="47"/>
      <c r="Y2228" s="47"/>
      <c r="Z2228" s="47"/>
      <c r="AA2228" s="47"/>
      <c r="AB2228" s="47"/>
      <c r="AC2228" s="47"/>
      <c r="AD2228" s="47"/>
      <c r="AE2228" s="47"/>
      <c r="AF2228" s="47"/>
      <c r="AG2228" s="47"/>
      <c r="AH2228" s="47"/>
      <c r="AI2228" s="47"/>
      <c r="AJ2228" s="47"/>
      <c r="AK2228" s="47"/>
      <c r="AL2228" s="47"/>
      <c r="AM2228" s="47"/>
      <c r="AN2228" s="47"/>
      <c r="AO2228" s="47"/>
      <c r="AP2228" s="47"/>
      <c r="AQ2228" s="47"/>
      <c r="AR2228" s="47"/>
      <c r="AS2228" s="47"/>
      <c r="AT2228" s="47"/>
      <c r="AU2228" s="47"/>
      <c r="AV2228" s="47"/>
    </row>
    <row r="2229" spans="1:48" s="18" customFormat="1" ht="15.75" customHeight="1">
      <c r="A2229" s="50"/>
      <c r="B2229" s="97" t="s">
        <v>40</v>
      </c>
      <c r="C2229" s="64" t="s">
        <v>39</v>
      </c>
      <c r="D2229" s="51"/>
      <c r="E2229" s="51"/>
      <c r="F2229" s="51"/>
      <c r="G2229" s="51"/>
      <c r="H2229" s="51"/>
      <c r="I2229" s="51"/>
      <c r="J2229" s="51"/>
      <c r="K2229" s="51"/>
      <c r="L2229" s="40">
        <v>3</v>
      </c>
      <c r="M2229" s="40" t="s">
        <v>556</v>
      </c>
      <c r="N2229" s="40">
        <v>4</v>
      </c>
      <c r="O2229" s="40" t="s">
        <v>556</v>
      </c>
      <c r="P2229" s="40" t="s">
        <v>556</v>
      </c>
      <c r="Q2229" s="77"/>
      <c r="R2229" s="77"/>
      <c r="S2229" s="78"/>
      <c r="T2229" s="47"/>
      <c r="U2229" s="47"/>
      <c r="V2229" s="47"/>
      <c r="W2229" s="47"/>
      <c r="X2229" s="47"/>
      <c r="Y2229" s="47"/>
      <c r="Z2229" s="47"/>
      <c r="AA2229" s="47"/>
      <c r="AB2229" s="47"/>
      <c r="AC2229" s="47"/>
      <c r="AD2229" s="47"/>
      <c r="AE2229" s="47"/>
      <c r="AF2229" s="47"/>
      <c r="AG2229" s="47"/>
      <c r="AH2229" s="47"/>
      <c r="AI2229" s="47"/>
      <c r="AJ2229" s="47"/>
      <c r="AK2229" s="47"/>
      <c r="AL2229" s="47"/>
      <c r="AM2229" s="47"/>
      <c r="AN2229" s="47"/>
      <c r="AO2229" s="47"/>
      <c r="AP2229" s="47"/>
      <c r="AQ2229" s="47"/>
      <c r="AR2229" s="47"/>
      <c r="AS2229" s="47"/>
      <c r="AT2229" s="47"/>
      <c r="AU2229" s="47"/>
      <c r="AV2229" s="47"/>
    </row>
    <row r="2230" spans="1:188" s="57" customFormat="1" ht="15.75" customHeight="1">
      <c r="A2230" s="13">
        <v>18</v>
      </c>
      <c r="B2230" s="92" t="s">
        <v>950</v>
      </c>
      <c r="C2230" s="45"/>
      <c r="D2230" s="44">
        <v>77</v>
      </c>
      <c r="E2230" s="44">
        <v>3</v>
      </c>
      <c r="F2230" s="44"/>
      <c r="G2230" s="44">
        <v>10</v>
      </c>
      <c r="H2230" s="44">
        <v>12</v>
      </c>
      <c r="I2230" s="44">
        <v>15</v>
      </c>
      <c r="J2230" s="44">
        <v>15</v>
      </c>
      <c r="K2230" s="44">
        <v>16</v>
      </c>
      <c r="L2230" s="44" t="s">
        <v>556</v>
      </c>
      <c r="M2230" s="44">
        <v>1</v>
      </c>
      <c r="N2230" s="44">
        <v>6</v>
      </c>
      <c r="O2230" s="44">
        <v>4</v>
      </c>
      <c r="P2230" s="44">
        <v>2</v>
      </c>
      <c r="Q2230" s="54" t="s">
        <v>649</v>
      </c>
      <c r="R2230" s="54">
        <v>7</v>
      </c>
      <c r="S2230" s="55" t="s">
        <v>590</v>
      </c>
      <c r="T2230" s="56"/>
      <c r="U2230" s="56"/>
      <c r="V2230" s="56"/>
      <c r="W2230" s="56"/>
      <c r="X2230" s="56"/>
      <c r="Y2230" s="56"/>
      <c r="Z2230" s="56"/>
      <c r="AA2230" s="56"/>
      <c r="AB2230" s="56"/>
      <c r="AC2230" s="56"/>
      <c r="AD2230" s="56"/>
      <c r="AE2230" s="56"/>
      <c r="AF2230" s="56"/>
      <c r="AG2230" s="56"/>
      <c r="AH2230" s="56"/>
      <c r="AI2230" s="56"/>
      <c r="AJ2230" s="56"/>
      <c r="AK2230" s="56"/>
      <c r="AL2230" s="56"/>
      <c r="AM2230" s="56"/>
      <c r="AN2230" s="56"/>
      <c r="AO2230" s="56"/>
      <c r="AP2230" s="56"/>
      <c r="AQ2230" s="56"/>
      <c r="AR2230" s="56"/>
      <c r="AS2230" s="56"/>
      <c r="AT2230" s="56"/>
      <c r="AU2230" s="56"/>
      <c r="AV2230" s="56"/>
      <c r="AW2230" s="56"/>
      <c r="AX2230" s="56"/>
      <c r="AY2230" s="56"/>
      <c r="AZ2230" s="56"/>
      <c r="BA2230" s="56"/>
      <c r="BB2230" s="56"/>
      <c r="BC2230" s="56"/>
      <c r="BD2230" s="56"/>
      <c r="BE2230" s="56"/>
      <c r="BF2230" s="56"/>
      <c r="BG2230" s="56"/>
      <c r="BH2230" s="56"/>
      <c r="BI2230" s="56"/>
      <c r="BJ2230" s="56"/>
      <c r="BK2230" s="56"/>
      <c r="BL2230" s="56"/>
      <c r="BM2230" s="56"/>
      <c r="BN2230" s="56"/>
      <c r="BO2230" s="56"/>
      <c r="BP2230" s="56"/>
      <c r="BQ2230" s="56"/>
      <c r="BR2230" s="56"/>
      <c r="BS2230" s="56"/>
      <c r="BT2230" s="56"/>
      <c r="BU2230" s="56"/>
      <c r="BV2230" s="56"/>
      <c r="BW2230" s="56"/>
      <c r="BX2230" s="56"/>
      <c r="BY2230" s="56"/>
      <c r="BZ2230" s="56"/>
      <c r="CA2230" s="56"/>
      <c r="CB2230" s="56"/>
      <c r="CC2230" s="56"/>
      <c r="CD2230" s="56"/>
      <c r="CE2230" s="56"/>
      <c r="CF2230" s="56"/>
      <c r="CG2230" s="56"/>
      <c r="CH2230" s="56"/>
      <c r="CI2230" s="56"/>
      <c r="CJ2230" s="56"/>
      <c r="CK2230" s="56"/>
      <c r="CL2230" s="56"/>
      <c r="CM2230" s="56"/>
      <c r="CN2230" s="56"/>
      <c r="CO2230" s="56"/>
      <c r="CP2230" s="56"/>
      <c r="CQ2230" s="56"/>
      <c r="CR2230" s="56"/>
      <c r="CS2230" s="56"/>
      <c r="CT2230" s="56"/>
      <c r="CU2230" s="56"/>
      <c r="CV2230" s="56"/>
      <c r="CW2230" s="56"/>
      <c r="CX2230" s="56"/>
      <c r="CY2230" s="56"/>
      <c r="CZ2230" s="56"/>
      <c r="DA2230" s="56"/>
      <c r="DB2230" s="56"/>
      <c r="DC2230" s="56"/>
      <c r="DD2230" s="56"/>
      <c r="DE2230" s="56"/>
      <c r="DF2230" s="56"/>
      <c r="DG2230" s="56"/>
      <c r="DH2230" s="56"/>
      <c r="DI2230" s="56"/>
      <c r="DJ2230" s="56"/>
      <c r="DK2230" s="56"/>
      <c r="DL2230" s="56"/>
      <c r="DM2230" s="56"/>
      <c r="DN2230" s="56"/>
      <c r="DO2230" s="56"/>
      <c r="DP2230" s="56"/>
      <c r="DQ2230" s="56"/>
      <c r="DR2230" s="56"/>
      <c r="DS2230" s="56"/>
      <c r="DT2230" s="56"/>
      <c r="DU2230" s="56"/>
      <c r="DV2230" s="56"/>
      <c r="DW2230" s="56"/>
      <c r="DX2230" s="56"/>
      <c r="DY2230" s="56"/>
      <c r="DZ2230" s="56"/>
      <c r="EA2230" s="56"/>
      <c r="EB2230" s="56"/>
      <c r="EC2230" s="56"/>
      <c r="ED2230" s="56"/>
      <c r="EE2230" s="56"/>
      <c r="EF2230" s="56"/>
      <c r="EG2230" s="56"/>
      <c r="EH2230" s="56"/>
      <c r="EI2230" s="56"/>
      <c r="EJ2230" s="56"/>
      <c r="EK2230" s="56"/>
      <c r="EL2230" s="56"/>
      <c r="EM2230" s="56"/>
      <c r="EN2230" s="56"/>
      <c r="EO2230" s="56"/>
      <c r="EP2230" s="56"/>
      <c r="EQ2230" s="56"/>
      <c r="ER2230" s="56"/>
      <c r="ES2230" s="56"/>
      <c r="ET2230" s="56"/>
      <c r="EU2230" s="56"/>
      <c r="EV2230" s="56"/>
      <c r="EW2230" s="56"/>
      <c r="EX2230" s="56"/>
      <c r="EY2230" s="56"/>
      <c r="EZ2230" s="56"/>
      <c r="FA2230" s="56"/>
      <c r="FB2230" s="56"/>
      <c r="FC2230" s="56"/>
      <c r="FD2230" s="56"/>
      <c r="FE2230" s="56"/>
      <c r="FF2230" s="56"/>
      <c r="FG2230" s="56"/>
      <c r="FH2230" s="56"/>
      <c r="FI2230" s="56"/>
      <c r="FJ2230" s="56"/>
      <c r="FK2230" s="56"/>
      <c r="FL2230" s="56"/>
      <c r="FM2230" s="56"/>
      <c r="FN2230" s="56"/>
      <c r="FO2230" s="56"/>
      <c r="FP2230" s="56"/>
      <c r="FQ2230" s="56"/>
      <c r="FR2230" s="56"/>
      <c r="FS2230" s="56"/>
      <c r="FT2230" s="56"/>
      <c r="FU2230" s="56"/>
      <c r="FV2230" s="56"/>
      <c r="FW2230" s="56"/>
      <c r="FX2230" s="56"/>
      <c r="FY2230" s="56"/>
      <c r="FZ2230" s="56"/>
      <c r="GA2230" s="56"/>
      <c r="GB2230" s="56"/>
      <c r="GC2230" s="56"/>
      <c r="GD2230" s="56"/>
      <c r="GE2230" s="56"/>
      <c r="GF2230" s="56"/>
    </row>
    <row r="2231" spans="1:48" s="18" customFormat="1" ht="15.75" customHeight="1">
      <c r="A2231" s="50"/>
      <c r="B2231" s="93" t="s">
        <v>669</v>
      </c>
      <c r="C2231" s="16"/>
      <c r="D2231" s="52"/>
      <c r="E2231" s="52"/>
      <c r="F2231" s="52"/>
      <c r="G2231" s="52"/>
      <c r="H2231" s="52"/>
      <c r="I2231" s="52"/>
      <c r="J2231" s="52"/>
      <c r="K2231" s="52"/>
      <c r="L2231" s="60" t="s">
        <v>556</v>
      </c>
      <c r="M2231" s="60">
        <f>SUM(M2232:M2234)</f>
        <v>1</v>
      </c>
      <c r="N2231" s="60">
        <f>SUM(N2232:N2234)</f>
        <v>4</v>
      </c>
      <c r="O2231" s="60">
        <f>SUM(O2232:O2234)</f>
        <v>5</v>
      </c>
      <c r="P2231" s="60">
        <f>SUM(P2232:P2234)</f>
        <v>5</v>
      </c>
      <c r="Q2231" s="23"/>
      <c r="R2231" s="23"/>
      <c r="S2231" s="17"/>
      <c r="T2231" s="47"/>
      <c r="U2231" s="47"/>
      <c r="V2231" s="47"/>
      <c r="W2231" s="47"/>
      <c r="X2231" s="47"/>
      <c r="Y2231" s="47"/>
      <c r="Z2231" s="47"/>
      <c r="AA2231" s="47"/>
      <c r="AB2231" s="47"/>
      <c r="AC2231" s="47"/>
      <c r="AD2231" s="47"/>
      <c r="AE2231" s="47"/>
      <c r="AF2231" s="47"/>
      <c r="AG2231" s="47"/>
      <c r="AH2231" s="47"/>
      <c r="AI2231" s="47"/>
      <c r="AJ2231" s="47"/>
      <c r="AK2231" s="47"/>
      <c r="AL2231" s="47"/>
      <c r="AM2231" s="47"/>
      <c r="AN2231" s="47"/>
      <c r="AO2231" s="47"/>
      <c r="AP2231" s="47"/>
      <c r="AQ2231" s="47"/>
      <c r="AR2231" s="47"/>
      <c r="AS2231" s="47"/>
      <c r="AT2231" s="47"/>
      <c r="AU2231" s="47"/>
      <c r="AV2231" s="47"/>
    </row>
    <row r="2232" spans="1:48" s="18" customFormat="1" ht="15.75" customHeight="1">
      <c r="A2232" s="50"/>
      <c r="B2232" s="97" t="s">
        <v>1038</v>
      </c>
      <c r="C2232" s="29" t="s">
        <v>1039</v>
      </c>
      <c r="D2232" s="51"/>
      <c r="E2232" s="51"/>
      <c r="F2232" s="51"/>
      <c r="G2232" s="51"/>
      <c r="H2232" s="51"/>
      <c r="I2232" s="51"/>
      <c r="J2232" s="51"/>
      <c r="K2232" s="51"/>
      <c r="L2232" s="40" t="s">
        <v>556</v>
      </c>
      <c r="M2232" s="40" t="s">
        <v>556</v>
      </c>
      <c r="N2232" s="40">
        <v>2</v>
      </c>
      <c r="O2232" s="40">
        <v>2</v>
      </c>
      <c r="P2232" s="40">
        <v>2</v>
      </c>
      <c r="Q2232" s="77"/>
      <c r="R2232" s="77"/>
      <c r="S2232" s="78"/>
      <c r="T2232" s="47"/>
      <c r="U2232" s="47"/>
      <c r="V2232" s="47"/>
      <c r="W2232" s="47"/>
      <c r="X2232" s="47"/>
      <c r="Y2232" s="47"/>
      <c r="Z2232" s="47"/>
      <c r="AA2232" s="47"/>
      <c r="AB2232" s="47"/>
      <c r="AC2232" s="47"/>
      <c r="AD2232" s="47"/>
      <c r="AE2232" s="47"/>
      <c r="AF2232" s="47"/>
      <c r="AG2232" s="47"/>
      <c r="AH2232" s="47"/>
      <c r="AI2232" s="47"/>
      <c r="AJ2232" s="47"/>
      <c r="AK2232" s="47"/>
      <c r="AL2232" s="47"/>
      <c r="AM2232" s="47"/>
      <c r="AN2232" s="47"/>
      <c r="AO2232" s="47"/>
      <c r="AP2232" s="47"/>
      <c r="AQ2232" s="47"/>
      <c r="AR2232" s="47"/>
      <c r="AS2232" s="47"/>
      <c r="AT2232" s="47"/>
      <c r="AU2232" s="47"/>
      <c r="AV2232" s="47"/>
    </row>
    <row r="2233" spans="1:48" s="18" customFormat="1" ht="15.75" customHeight="1">
      <c r="A2233" s="50"/>
      <c r="B2233" s="111" t="s">
        <v>559</v>
      </c>
      <c r="C2233" s="15">
        <v>37020339</v>
      </c>
      <c r="D2233" s="51"/>
      <c r="E2233" s="51"/>
      <c r="F2233" s="51"/>
      <c r="G2233" s="51"/>
      <c r="H2233" s="51"/>
      <c r="I2233" s="51"/>
      <c r="J2233" s="51"/>
      <c r="K2233" s="51"/>
      <c r="L2233" s="40" t="s">
        <v>556</v>
      </c>
      <c r="M2233" s="40" t="s">
        <v>556</v>
      </c>
      <c r="N2233" s="40">
        <v>1</v>
      </c>
      <c r="O2233" s="40">
        <v>1</v>
      </c>
      <c r="P2233" s="40">
        <v>1</v>
      </c>
      <c r="Q2233" s="77"/>
      <c r="R2233" s="77"/>
      <c r="S2233" s="78"/>
      <c r="T2233" s="47"/>
      <c r="U2233" s="47"/>
      <c r="V2233" s="47"/>
      <c r="W2233" s="47"/>
      <c r="X2233" s="47"/>
      <c r="Y2233" s="47"/>
      <c r="Z2233" s="47"/>
      <c r="AA2233" s="47"/>
      <c r="AB2233" s="47"/>
      <c r="AC2233" s="47"/>
      <c r="AD2233" s="47"/>
      <c r="AE2233" s="47"/>
      <c r="AF2233" s="47"/>
      <c r="AG2233" s="47"/>
      <c r="AH2233" s="47"/>
      <c r="AI2233" s="47"/>
      <c r="AJ2233" s="47"/>
      <c r="AK2233" s="47"/>
      <c r="AL2233" s="47"/>
      <c r="AM2233" s="47"/>
      <c r="AN2233" s="47"/>
      <c r="AO2233" s="47"/>
      <c r="AP2233" s="47"/>
      <c r="AQ2233" s="47"/>
      <c r="AR2233" s="47"/>
      <c r="AS2233" s="47"/>
      <c r="AT2233" s="47"/>
      <c r="AU2233" s="47"/>
      <c r="AV2233" s="47"/>
    </row>
    <row r="2234" spans="1:48" s="18" customFormat="1" ht="15.75" customHeight="1">
      <c r="A2234" s="50"/>
      <c r="B2234" s="97" t="s">
        <v>562</v>
      </c>
      <c r="C2234" s="29" t="s">
        <v>563</v>
      </c>
      <c r="D2234" s="51"/>
      <c r="E2234" s="51"/>
      <c r="F2234" s="51"/>
      <c r="G2234" s="51"/>
      <c r="H2234" s="51"/>
      <c r="I2234" s="51"/>
      <c r="J2234" s="51"/>
      <c r="K2234" s="51"/>
      <c r="L2234" s="40" t="s">
        <v>556</v>
      </c>
      <c r="M2234" s="40">
        <v>1</v>
      </c>
      <c r="N2234" s="40">
        <v>1</v>
      </c>
      <c r="O2234" s="40">
        <v>2</v>
      </c>
      <c r="P2234" s="40">
        <v>2</v>
      </c>
      <c r="Q2234" s="77"/>
      <c r="R2234" s="77"/>
      <c r="S2234" s="78"/>
      <c r="T2234" s="47"/>
      <c r="U2234" s="47"/>
      <c r="V2234" s="47"/>
      <c r="W2234" s="47"/>
      <c r="X2234" s="47"/>
      <c r="Y2234" s="47"/>
      <c r="Z2234" s="47"/>
      <c r="AA2234" s="47"/>
      <c r="AB2234" s="47"/>
      <c r="AC2234" s="47"/>
      <c r="AD2234" s="47"/>
      <c r="AE2234" s="47"/>
      <c r="AF2234" s="47"/>
      <c r="AG2234" s="47"/>
      <c r="AH2234" s="47"/>
      <c r="AI2234" s="47"/>
      <c r="AJ2234" s="47"/>
      <c r="AK2234" s="47"/>
      <c r="AL2234" s="47"/>
      <c r="AM2234" s="47"/>
      <c r="AN2234" s="47"/>
      <c r="AO2234" s="47"/>
      <c r="AP2234" s="47"/>
      <c r="AQ2234" s="47"/>
      <c r="AR2234" s="47"/>
      <c r="AS2234" s="47"/>
      <c r="AT2234" s="47"/>
      <c r="AU2234" s="47"/>
      <c r="AV2234" s="47"/>
    </row>
    <row r="2235" spans="1:48" s="18" customFormat="1" ht="15.75" customHeight="1">
      <c r="A2235" s="50"/>
      <c r="B2235" s="93" t="s">
        <v>670</v>
      </c>
      <c r="C2235" s="15"/>
      <c r="D2235" s="51"/>
      <c r="E2235" s="51"/>
      <c r="F2235" s="51"/>
      <c r="G2235" s="51"/>
      <c r="H2235" s="51"/>
      <c r="I2235" s="51"/>
      <c r="J2235" s="51"/>
      <c r="K2235" s="51"/>
      <c r="L2235" s="60" t="s">
        <v>556</v>
      </c>
      <c r="M2235" s="60" t="s">
        <v>556</v>
      </c>
      <c r="N2235" s="60">
        <f>N2236</f>
        <v>2</v>
      </c>
      <c r="O2235" s="60">
        <f>O2236</f>
        <v>2</v>
      </c>
      <c r="P2235" s="60">
        <f>P2236</f>
        <v>2</v>
      </c>
      <c r="Q2235" s="77"/>
      <c r="R2235" s="77"/>
      <c r="S2235" s="78"/>
      <c r="T2235" s="47"/>
      <c r="U2235" s="47"/>
      <c r="V2235" s="47"/>
      <c r="W2235" s="47"/>
      <c r="X2235" s="47"/>
      <c r="Y2235" s="47"/>
      <c r="Z2235" s="47"/>
      <c r="AA2235" s="47"/>
      <c r="AB2235" s="47"/>
      <c r="AC2235" s="47"/>
      <c r="AD2235" s="47"/>
      <c r="AE2235" s="47"/>
      <c r="AF2235" s="47"/>
      <c r="AG2235" s="47"/>
      <c r="AH2235" s="47"/>
      <c r="AI2235" s="47"/>
      <c r="AJ2235" s="47"/>
      <c r="AK2235" s="47"/>
      <c r="AL2235" s="47"/>
      <c r="AM2235" s="47"/>
      <c r="AN2235" s="47"/>
      <c r="AO2235" s="47"/>
      <c r="AP2235" s="47"/>
      <c r="AQ2235" s="47"/>
      <c r="AR2235" s="47"/>
      <c r="AS2235" s="47"/>
      <c r="AT2235" s="47"/>
      <c r="AU2235" s="47"/>
      <c r="AV2235" s="47"/>
    </row>
    <row r="2236" spans="1:48" s="18" customFormat="1" ht="15.75" customHeight="1">
      <c r="A2236" s="50"/>
      <c r="B2236" s="97" t="s">
        <v>566</v>
      </c>
      <c r="C2236" s="15" t="s">
        <v>567</v>
      </c>
      <c r="D2236" s="51"/>
      <c r="E2236" s="51"/>
      <c r="F2236" s="51">
        <v>3</v>
      </c>
      <c r="G2236" s="51">
        <v>9</v>
      </c>
      <c r="H2236" s="51">
        <v>9</v>
      </c>
      <c r="I2236" s="51">
        <v>9</v>
      </c>
      <c r="J2236" s="51">
        <v>9</v>
      </c>
      <c r="K2236" s="51">
        <v>9</v>
      </c>
      <c r="L2236" s="40" t="s">
        <v>556</v>
      </c>
      <c r="M2236" s="40" t="s">
        <v>556</v>
      </c>
      <c r="N2236" s="40">
        <v>2</v>
      </c>
      <c r="O2236" s="40">
        <v>2</v>
      </c>
      <c r="P2236" s="40">
        <v>2</v>
      </c>
      <c r="Q2236" s="77"/>
      <c r="R2236" s="77"/>
      <c r="S2236" s="78"/>
      <c r="T2236" s="47"/>
      <c r="U2236" s="47"/>
      <c r="V2236" s="47"/>
      <c r="W2236" s="47"/>
      <c r="X2236" s="47"/>
      <c r="Y2236" s="47"/>
      <c r="Z2236" s="47"/>
      <c r="AA2236" s="47"/>
      <c r="AB2236" s="47"/>
      <c r="AC2236" s="47"/>
      <c r="AD2236" s="47"/>
      <c r="AE2236" s="47"/>
      <c r="AF2236" s="47"/>
      <c r="AG2236" s="47"/>
      <c r="AH2236" s="47"/>
      <c r="AI2236" s="47"/>
      <c r="AJ2236" s="47"/>
      <c r="AK2236" s="47"/>
      <c r="AL2236" s="47"/>
      <c r="AM2236" s="47"/>
      <c r="AN2236" s="47"/>
      <c r="AO2236" s="47"/>
      <c r="AP2236" s="47"/>
      <c r="AQ2236" s="47"/>
      <c r="AR2236" s="47"/>
      <c r="AS2236" s="47"/>
      <c r="AT2236" s="47"/>
      <c r="AU2236" s="47"/>
      <c r="AV2236" s="47"/>
    </row>
    <row r="2237" spans="1:188" s="57" customFormat="1" ht="15.75" customHeight="1">
      <c r="A2237" s="13">
        <v>19</v>
      </c>
      <c r="B2237" s="92" t="s">
        <v>948</v>
      </c>
      <c r="C2237" s="45"/>
      <c r="D2237" s="44">
        <v>23</v>
      </c>
      <c r="E2237" s="44">
        <v>12</v>
      </c>
      <c r="F2237" s="44"/>
      <c r="G2237" s="44">
        <v>10</v>
      </c>
      <c r="H2237" s="44">
        <v>12</v>
      </c>
      <c r="I2237" s="44">
        <v>15</v>
      </c>
      <c r="J2237" s="44">
        <v>15</v>
      </c>
      <c r="K2237" s="44">
        <v>16</v>
      </c>
      <c r="L2237" s="44" t="s">
        <v>556</v>
      </c>
      <c r="M2237" s="44">
        <v>3</v>
      </c>
      <c r="N2237" s="44" t="s">
        <v>556</v>
      </c>
      <c r="O2237" s="44" t="s">
        <v>556</v>
      </c>
      <c r="P2237" s="44" t="s">
        <v>556</v>
      </c>
      <c r="Q2237" s="54" t="s">
        <v>649</v>
      </c>
      <c r="R2237" s="54">
        <v>7</v>
      </c>
      <c r="S2237" s="55" t="s">
        <v>590</v>
      </c>
      <c r="T2237" s="56"/>
      <c r="U2237" s="56"/>
      <c r="V2237" s="56"/>
      <c r="W2237" s="56"/>
      <c r="X2237" s="56"/>
      <c r="Y2237" s="56"/>
      <c r="Z2237" s="56"/>
      <c r="AA2237" s="56"/>
      <c r="AB2237" s="56"/>
      <c r="AC2237" s="56"/>
      <c r="AD2237" s="56"/>
      <c r="AE2237" s="56"/>
      <c r="AF2237" s="56"/>
      <c r="AG2237" s="56"/>
      <c r="AH2237" s="56"/>
      <c r="AI2237" s="56"/>
      <c r="AJ2237" s="56"/>
      <c r="AK2237" s="56"/>
      <c r="AL2237" s="56"/>
      <c r="AM2237" s="56"/>
      <c r="AN2237" s="56"/>
      <c r="AO2237" s="56"/>
      <c r="AP2237" s="56"/>
      <c r="AQ2237" s="56"/>
      <c r="AR2237" s="56"/>
      <c r="AS2237" s="56"/>
      <c r="AT2237" s="56"/>
      <c r="AU2237" s="56"/>
      <c r="AV2237" s="56"/>
      <c r="AW2237" s="56"/>
      <c r="AX2237" s="56"/>
      <c r="AY2237" s="56"/>
      <c r="AZ2237" s="56"/>
      <c r="BA2237" s="56"/>
      <c r="BB2237" s="56"/>
      <c r="BC2237" s="56"/>
      <c r="BD2237" s="56"/>
      <c r="BE2237" s="56"/>
      <c r="BF2237" s="56"/>
      <c r="BG2237" s="56"/>
      <c r="BH2237" s="56"/>
      <c r="BI2237" s="56"/>
      <c r="BJ2237" s="56"/>
      <c r="BK2237" s="56"/>
      <c r="BL2237" s="56"/>
      <c r="BM2237" s="56"/>
      <c r="BN2237" s="56"/>
      <c r="BO2237" s="56"/>
      <c r="BP2237" s="56"/>
      <c r="BQ2237" s="56"/>
      <c r="BR2237" s="56"/>
      <c r="BS2237" s="56"/>
      <c r="BT2237" s="56"/>
      <c r="BU2237" s="56"/>
      <c r="BV2237" s="56"/>
      <c r="BW2237" s="56"/>
      <c r="BX2237" s="56"/>
      <c r="BY2237" s="56"/>
      <c r="BZ2237" s="56"/>
      <c r="CA2237" s="56"/>
      <c r="CB2237" s="56"/>
      <c r="CC2237" s="56"/>
      <c r="CD2237" s="56"/>
      <c r="CE2237" s="56"/>
      <c r="CF2237" s="56"/>
      <c r="CG2237" s="56"/>
      <c r="CH2237" s="56"/>
      <c r="CI2237" s="56"/>
      <c r="CJ2237" s="56"/>
      <c r="CK2237" s="56"/>
      <c r="CL2237" s="56"/>
      <c r="CM2237" s="56"/>
      <c r="CN2237" s="56"/>
      <c r="CO2237" s="56"/>
      <c r="CP2237" s="56"/>
      <c r="CQ2237" s="56"/>
      <c r="CR2237" s="56"/>
      <c r="CS2237" s="56"/>
      <c r="CT2237" s="56"/>
      <c r="CU2237" s="56"/>
      <c r="CV2237" s="56"/>
      <c r="CW2237" s="56"/>
      <c r="CX2237" s="56"/>
      <c r="CY2237" s="56"/>
      <c r="CZ2237" s="56"/>
      <c r="DA2237" s="56"/>
      <c r="DB2237" s="56"/>
      <c r="DC2237" s="56"/>
      <c r="DD2237" s="56"/>
      <c r="DE2237" s="56"/>
      <c r="DF2237" s="56"/>
      <c r="DG2237" s="56"/>
      <c r="DH2237" s="56"/>
      <c r="DI2237" s="56"/>
      <c r="DJ2237" s="56"/>
      <c r="DK2237" s="56"/>
      <c r="DL2237" s="56"/>
      <c r="DM2237" s="56"/>
      <c r="DN2237" s="56"/>
      <c r="DO2237" s="56"/>
      <c r="DP2237" s="56"/>
      <c r="DQ2237" s="56"/>
      <c r="DR2237" s="56"/>
      <c r="DS2237" s="56"/>
      <c r="DT2237" s="56"/>
      <c r="DU2237" s="56"/>
      <c r="DV2237" s="56"/>
      <c r="DW2237" s="56"/>
      <c r="DX2237" s="56"/>
      <c r="DY2237" s="56"/>
      <c r="DZ2237" s="56"/>
      <c r="EA2237" s="56"/>
      <c r="EB2237" s="56"/>
      <c r="EC2237" s="56"/>
      <c r="ED2237" s="56"/>
      <c r="EE2237" s="56"/>
      <c r="EF2237" s="56"/>
      <c r="EG2237" s="56"/>
      <c r="EH2237" s="56"/>
      <c r="EI2237" s="56"/>
      <c r="EJ2237" s="56"/>
      <c r="EK2237" s="56"/>
      <c r="EL2237" s="56"/>
      <c r="EM2237" s="56"/>
      <c r="EN2237" s="56"/>
      <c r="EO2237" s="56"/>
      <c r="EP2237" s="56"/>
      <c r="EQ2237" s="56"/>
      <c r="ER2237" s="56"/>
      <c r="ES2237" s="56"/>
      <c r="ET2237" s="56"/>
      <c r="EU2237" s="56"/>
      <c r="EV2237" s="56"/>
      <c r="EW2237" s="56"/>
      <c r="EX2237" s="56"/>
      <c r="EY2237" s="56"/>
      <c r="EZ2237" s="56"/>
      <c r="FA2237" s="56"/>
      <c r="FB2237" s="56"/>
      <c r="FC2237" s="56"/>
      <c r="FD2237" s="56"/>
      <c r="FE2237" s="56"/>
      <c r="FF2237" s="56"/>
      <c r="FG2237" s="56"/>
      <c r="FH2237" s="56"/>
      <c r="FI2237" s="56"/>
      <c r="FJ2237" s="56"/>
      <c r="FK2237" s="56"/>
      <c r="FL2237" s="56"/>
      <c r="FM2237" s="56"/>
      <c r="FN2237" s="56"/>
      <c r="FO2237" s="56"/>
      <c r="FP2237" s="56"/>
      <c r="FQ2237" s="56"/>
      <c r="FR2237" s="56"/>
      <c r="FS2237" s="56"/>
      <c r="FT2237" s="56"/>
      <c r="FU2237" s="56"/>
      <c r="FV2237" s="56"/>
      <c r="FW2237" s="56"/>
      <c r="FX2237" s="56"/>
      <c r="FY2237" s="56"/>
      <c r="FZ2237" s="56"/>
      <c r="GA2237" s="56"/>
      <c r="GB2237" s="56"/>
      <c r="GC2237" s="56"/>
      <c r="GD2237" s="56"/>
      <c r="GE2237" s="56"/>
      <c r="GF2237" s="56"/>
    </row>
    <row r="2238" spans="1:48" s="18" customFormat="1" ht="15.75" customHeight="1">
      <c r="A2238" s="50"/>
      <c r="B2238" s="93" t="s">
        <v>669</v>
      </c>
      <c r="C2238" s="16"/>
      <c r="D2238" s="52"/>
      <c r="E2238" s="52"/>
      <c r="F2238" s="52"/>
      <c r="G2238" s="52"/>
      <c r="H2238" s="52"/>
      <c r="I2238" s="52"/>
      <c r="J2238" s="52"/>
      <c r="K2238" s="52"/>
      <c r="L2238" s="60" t="str">
        <f>L2239</f>
        <v> -</v>
      </c>
      <c r="M2238" s="60">
        <f>M2239</f>
        <v>2</v>
      </c>
      <c r="N2238" s="60" t="str">
        <f>N2239</f>
        <v> -</v>
      </c>
      <c r="O2238" s="60" t="str">
        <f>O2239</f>
        <v> -</v>
      </c>
      <c r="P2238" s="60" t="str">
        <f>P2239</f>
        <v> -</v>
      </c>
      <c r="Q2238" s="23"/>
      <c r="R2238" s="23"/>
      <c r="S2238" s="17"/>
      <c r="T2238" s="47"/>
      <c r="U2238" s="47"/>
      <c r="V2238" s="47"/>
      <c r="W2238" s="47"/>
      <c r="X2238" s="47"/>
      <c r="Y2238" s="47"/>
      <c r="Z2238" s="47"/>
      <c r="AA2238" s="47"/>
      <c r="AB2238" s="47"/>
      <c r="AC2238" s="47"/>
      <c r="AD2238" s="47"/>
      <c r="AE2238" s="47"/>
      <c r="AF2238" s="47"/>
      <c r="AG2238" s="47"/>
      <c r="AH2238" s="47"/>
      <c r="AI2238" s="47"/>
      <c r="AJ2238" s="47"/>
      <c r="AK2238" s="47"/>
      <c r="AL2238" s="47"/>
      <c r="AM2238" s="47"/>
      <c r="AN2238" s="47"/>
      <c r="AO2238" s="47"/>
      <c r="AP2238" s="47"/>
      <c r="AQ2238" s="47"/>
      <c r="AR2238" s="47"/>
      <c r="AS2238" s="47"/>
      <c r="AT2238" s="47"/>
      <c r="AU2238" s="47"/>
      <c r="AV2238" s="47"/>
    </row>
    <row r="2239" spans="1:48" s="18" customFormat="1" ht="15.75" customHeight="1">
      <c r="A2239" s="50"/>
      <c r="B2239" s="111" t="s">
        <v>559</v>
      </c>
      <c r="C2239" s="15">
        <v>37020339</v>
      </c>
      <c r="D2239" s="51"/>
      <c r="E2239" s="51"/>
      <c r="F2239" s="51"/>
      <c r="G2239" s="51"/>
      <c r="H2239" s="51"/>
      <c r="I2239" s="51"/>
      <c r="J2239" s="51"/>
      <c r="K2239" s="51"/>
      <c r="L2239" s="40" t="s">
        <v>556</v>
      </c>
      <c r="M2239" s="40">
        <v>2</v>
      </c>
      <c r="N2239" s="40" t="s">
        <v>556</v>
      </c>
      <c r="O2239" s="40" t="s">
        <v>556</v>
      </c>
      <c r="P2239" s="40" t="s">
        <v>556</v>
      </c>
      <c r="Q2239" s="77"/>
      <c r="R2239" s="77"/>
      <c r="S2239" s="78"/>
      <c r="T2239" s="47"/>
      <c r="U2239" s="47"/>
      <c r="V2239" s="47"/>
      <c r="W2239" s="47"/>
      <c r="X2239" s="47"/>
      <c r="Y2239" s="47"/>
      <c r="Z2239" s="47"/>
      <c r="AA2239" s="47"/>
      <c r="AB2239" s="47"/>
      <c r="AC2239" s="47"/>
      <c r="AD2239" s="47"/>
      <c r="AE2239" s="47"/>
      <c r="AF2239" s="47"/>
      <c r="AG2239" s="47"/>
      <c r="AH2239" s="47"/>
      <c r="AI2239" s="47"/>
      <c r="AJ2239" s="47"/>
      <c r="AK2239" s="47"/>
      <c r="AL2239" s="47"/>
      <c r="AM2239" s="47"/>
      <c r="AN2239" s="47"/>
      <c r="AO2239" s="47"/>
      <c r="AP2239" s="47"/>
      <c r="AQ2239" s="47"/>
      <c r="AR2239" s="47"/>
      <c r="AS2239" s="47"/>
      <c r="AT2239" s="47"/>
      <c r="AU2239" s="47"/>
      <c r="AV2239" s="47"/>
    </row>
    <row r="2240" spans="1:48" s="18" customFormat="1" ht="15.75" customHeight="1">
      <c r="A2240" s="50"/>
      <c r="B2240" s="93" t="s">
        <v>37</v>
      </c>
      <c r="C2240" s="16"/>
      <c r="D2240" s="51"/>
      <c r="E2240" s="51"/>
      <c r="F2240" s="51"/>
      <c r="G2240" s="51"/>
      <c r="H2240" s="51"/>
      <c r="I2240" s="51"/>
      <c r="J2240" s="51"/>
      <c r="K2240" s="51"/>
      <c r="L2240" s="60" t="str">
        <f>L2241</f>
        <v> -</v>
      </c>
      <c r="M2240" s="60">
        <f>M2241</f>
        <v>1</v>
      </c>
      <c r="N2240" s="60" t="str">
        <f>N2241</f>
        <v> -</v>
      </c>
      <c r="O2240" s="60" t="str">
        <f>O2241</f>
        <v> -</v>
      </c>
      <c r="P2240" s="60" t="str">
        <f>P2241</f>
        <v> -</v>
      </c>
      <c r="Q2240" s="23"/>
      <c r="R2240" s="23"/>
      <c r="S2240" s="17"/>
      <c r="T2240" s="47"/>
      <c r="U2240" s="47"/>
      <c r="V2240" s="47"/>
      <c r="W2240" s="47"/>
      <c r="X2240" s="47"/>
      <c r="Y2240" s="47"/>
      <c r="Z2240" s="47"/>
      <c r="AA2240" s="47"/>
      <c r="AB2240" s="47"/>
      <c r="AC2240" s="47"/>
      <c r="AD2240" s="47"/>
      <c r="AE2240" s="47"/>
      <c r="AF2240" s="47"/>
      <c r="AG2240" s="47"/>
      <c r="AH2240" s="47"/>
      <c r="AI2240" s="47"/>
      <c r="AJ2240" s="47"/>
      <c r="AK2240" s="47"/>
      <c r="AL2240" s="47"/>
      <c r="AM2240" s="47"/>
      <c r="AN2240" s="47"/>
      <c r="AO2240" s="47"/>
      <c r="AP2240" s="47"/>
      <c r="AQ2240" s="47"/>
      <c r="AR2240" s="47"/>
      <c r="AS2240" s="47"/>
      <c r="AT2240" s="47"/>
      <c r="AU2240" s="47"/>
      <c r="AV2240" s="47"/>
    </row>
    <row r="2241" spans="1:48" s="18" customFormat="1" ht="15.75" customHeight="1">
      <c r="A2241" s="50"/>
      <c r="B2241" s="97" t="s">
        <v>40</v>
      </c>
      <c r="C2241" s="64" t="s">
        <v>39</v>
      </c>
      <c r="D2241" s="51"/>
      <c r="E2241" s="51"/>
      <c r="F2241" s="51"/>
      <c r="G2241" s="51">
        <v>1</v>
      </c>
      <c r="H2241" s="51">
        <v>2</v>
      </c>
      <c r="I2241" s="51">
        <v>2</v>
      </c>
      <c r="J2241" s="51">
        <v>2</v>
      </c>
      <c r="K2241" s="51">
        <v>3</v>
      </c>
      <c r="L2241" s="40" t="s">
        <v>556</v>
      </c>
      <c r="M2241" s="40">
        <v>1</v>
      </c>
      <c r="N2241" s="40" t="s">
        <v>556</v>
      </c>
      <c r="O2241" s="40" t="s">
        <v>556</v>
      </c>
      <c r="P2241" s="40" t="s">
        <v>556</v>
      </c>
      <c r="Q2241" s="77"/>
      <c r="R2241" s="77"/>
      <c r="S2241" s="78"/>
      <c r="T2241" s="47"/>
      <c r="U2241" s="47"/>
      <c r="V2241" s="47"/>
      <c r="W2241" s="47"/>
      <c r="X2241" s="47"/>
      <c r="Y2241" s="47"/>
      <c r="Z2241" s="47"/>
      <c r="AA2241" s="47"/>
      <c r="AB2241" s="47"/>
      <c r="AC2241" s="47"/>
      <c r="AD2241" s="47"/>
      <c r="AE2241" s="47"/>
      <c r="AF2241" s="47"/>
      <c r="AG2241" s="47"/>
      <c r="AH2241" s="47"/>
      <c r="AI2241" s="47"/>
      <c r="AJ2241" s="47"/>
      <c r="AK2241" s="47"/>
      <c r="AL2241" s="47"/>
      <c r="AM2241" s="47"/>
      <c r="AN2241" s="47"/>
      <c r="AO2241" s="47"/>
      <c r="AP2241" s="47"/>
      <c r="AQ2241" s="47"/>
      <c r="AR2241" s="47"/>
      <c r="AS2241" s="47"/>
      <c r="AT2241" s="47"/>
      <c r="AU2241" s="47"/>
      <c r="AV2241" s="47"/>
    </row>
    <row r="2242" spans="1:188" s="57" customFormat="1" ht="15.75" customHeight="1">
      <c r="A2242" s="13">
        <v>20</v>
      </c>
      <c r="B2242" s="92" t="s">
        <v>511</v>
      </c>
      <c r="C2242" s="45"/>
      <c r="D2242" s="44">
        <v>51</v>
      </c>
      <c r="E2242" s="44">
        <v>2</v>
      </c>
      <c r="F2242" s="44"/>
      <c r="G2242" s="44">
        <v>58</v>
      </c>
      <c r="H2242" s="44">
        <v>59</v>
      </c>
      <c r="I2242" s="44">
        <v>59</v>
      </c>
      <c r="J2242" s="44">
        <v>59</v>
      </c>
      <c r="K2242" s="44">
        <v>59</v>
      </c>
      <c r="L2242" s="44">
        <v>8</v>
      </c>
      <c r="M2242" s="44">
        <v>1</v>
      </c>
      <c r="N2242" s="44" t="s">
        <v>556</v>
      </c>
      <c r="O2242" s="44" t="str">
        <f>O2246</f>
        <v> -</v>
      </c>
      <c r="P2242" s="44" t="str">
        <f>P2246</f>
        <v> -</v>
      </c>
      <c r="Q2242" s="54" t="s">
        <v>649</v>
      </c>
      <c r="R2242" s="54">
        <v>7</v>
      </c>
      <c r="S2242" s="55" t="s">
        <v>590</v>
      </c>
      <c r="T2242" s="56"/>
      <c r="U2242" s="56"/>
      <c r="V2242" s="56"/>
      <c r="W2242" s="56"/>
      <c r="X2242" s="56"/>
      <c r="Y2242" s="56"/>
      <c r="Z2242" s="56"/>
      <c r="AA2242" s="56"/>
      <c r="AB2242" s="56"/>
      <c r="AC2242" s="56"/>
      <c r="AD2242" s="56"/>
      <c r="AE2242" s="56"/>
      <c r="AF2242" s="56"/>
      <c r="AG2242" s="56"/>
      <c r="AH2242" s="56"/>
      <c r="AI2242" s="56"/>
      <c r="AJ2242" s="56"/>
      <c r="AK2242" s="56"/>
      <c r="AL2242" s="56"/>
      <c r="AM2242" s="56"/>
      <c r="AN2242" s="56"/>
      <c r="AO2242" s="56"/>
      <c r="AP2242" s="56"/>
      <c r="AQ2242" s="56"/>
      <c r="AR2242" s="56"/>
      <c r="AS2242" s="56"/>
      <c r="AT2242" s="56"/>
      <c r="AU2242" s="56"/>
      <c r="AV2242" s="56"/>
      <c r="AW2242" s="56"/>
      <c r="AX2242" s="56"/>
      <c r="AY2242" s="56"/>
      <c r="AZ2242" s="56"/>
      <c r="BA2242" s="56"/>
      <c r="BB2242" s="56"/>
      <c r="BC2242" s="56"/>
      <c r="BD2242" s="56"/>
      <c r="BE2242" s="56"/>
      <c r="BF2242" s="56"/>
      <c r="BG2242" s="56"/>
      <c r="BH2242" s="56"/>
      <c r="BI2242" s="56"/>
      <c r="BJ2242" s="56"/>
      <c r="BK2242" s="56"/>
      <c r="BL2242" s="56"/>
      <c r="BM2242" s="56"/>
      <c r="BN2242" s="56"/>
      <c r="BO2242" s="56"/>
      <c r="BP2242" s="56"/>
      <c r="BQ2242" s="56"/>
      <c r="BR2242" s="56"/>
      <c r="BS2242" s="56"/>
      <c r="BT2242" s="56"/>
      <c r="BU2242" s="56"/>
      <c r="BV2242" s="56"/>
      <c r="BW2242" s="56"/>
      <c r="BX2242" s="56"/>
      <c r="BY2242" s="56"/>
      <c r="BZ2242" s="56"/>
      <c r="CA2242" s="56"/>
      <c r="CB2242" s="56"/>
      <c r="CC2242" s="56"/>
      <c r="CD2242" s="56"/>
      <c r="CE2242" s="56"/>
      <c r="CF2242" s="56"/>
      <c r="CG2242" s="56"/>
      <c r="CH2242" s="56"/>
      <c r="CI2242" s="56"/>
      <c r="CJ2242" s="56"/>
      <c r="CK2242" s="56"/>
      <c r="CL2242" s="56"/>
      <c r="CM2242" s="56"/>
      <c r="CN2242" s="56"/>
      <c r="CO2242" s="56"/>
      <c r="CP2242" s="56"/>
      <c r="CQ2242" s="56"/>
      <c r="CR2242" s="56"/>
      <c r="CS2242" s="56"/>
      <c r="CT2242" s="56"/>
      <c r="CU2242" s="56"/>
      <c r="CV2242" s="56"/>
      <c r="CW2242" s="56"/>
      <c r="CX2242" s="56"/>
      <c r="CY2242" s="56"/>
      <c r="CZ2242" s="56"/>
      <c r="DA2242" s="56"/>
      <c r="DB2242" s="56"/>
      <c r="DC2242" s="56"/>
      <c r="DD2242" s="56"/>
      <c r="DE2242" s="56"/>
      <c r="DF2242" s="56"/>
      <c r="DG2242" s="56"/>
      <c r="DH2242" s="56"/>
      <c r="DI2242" s="56"/>
      <c r="DJ2242" s="56"/>
      <c r="DK2242" s="56"/>
      <c r="DL2242" s="56"/>
      <c r="DM2242" s="56"/>
      <c r="DN2242" s="56"/>
      <c r="DO2242" s="56"/>
      <c r="DP2242" s="56"/>
      <c r="DQ2242" s="56"/>
      <c r="DR2242" s="56"/>
      <c r="DS2242" s="56"/>
      <c r="DT2242" s="56"/>
      <c r="DU2242" s="56"/>
      <c r="DV2242" s="56"/>
      <c r="DW2242" s="56"/>
      <c r="DX2242" s="56"/>
      <c r="DY2242" s="56"/>
      <c r="DZ2242" s="56"/>
      <c r="EA2242" s="56"/>
      <c r="EB2242" s="56"/>
      <c r="EC2242" s="56"/>
      <c r="ED2242" s="56"/>
      <c r="EE2242" s="56"/>
      <c r="EF2242" s="56"/>
      <c r="EG2242" s="56"/>
      <c r="EH2242" s="56"/>
      <c r="EI2242" s="56"/>
      <c r="EJ2242" s="56"/>
      <c r="EK2242" s="56"/>
      <c r="EL2242" s="56"/>
      <c r="EM2242" s="56"/>
      <c r="EN2242" s="56"/>
      <c r="EO2242" s="56"/>
      <c r="EP2242" s="56"/>
      <c r="EQ2242" s="56"/>
      <c r="ER2242" s="56"/>
      <c r="ES2242" s="56"/>
      <c r="ET2242" s="56"/>
      <c r="EU2242" s="56"/>
      <c r="EV2242" s="56"/>
      <c r="EW2242" s="56"/>
      <c r="EX2242" s="56"/>
      <c r="EY2242" s="56"/>
      <c r="EZ2242" s="56"/>
      <c r="FA2242" s="56"/>
      <c r="FB2242" s="56"/>
      <c r="FC2242" s="56"/>
      <c r="FD2242" s="56"/>
      <c r="FE2242" s="56"/>
      <c r="FF2242" s="56"/>
      <c r="FG2242" s="56"/>
      <c r="FH2242" s="56"/>
      <c r="FI2242" s="56"/>
      <c r="FJ2242" s="56"/>
      <c r="FK2242" s="56"/>
      <c r="FL2242" s="56"/>
      <c r="FM2242" s="56"/>
      <c r="FN2242" s="56"/>
      <c r="FO2242" s="56"/>
      <c r="FP2242" s="56"/>
      <c r="FQ2242" s="56"/>
      <c r="FR2242" s="56"/>
      <c r="FS2242" s="56"/>
      <c r="FT2242" s="56"/>
      <c r="FU2242" s="56"/>
      <c r="FV2242" s="56"/>
      <c r="FW2242" s="56"/>
      <c r="FX2242" s="56"/>
      <c r="FY2242" s="56"/>
      <c r="FZ2242" s="56"/>
      <c r="GA2242" s="56"/>
      <c r="GB2242" s="56"/>
      <c r="GC2242" s="56"/>
      <c r="GD2242" s="56"/>
      <c r="GE2242" s="56"/>
      <c r="GF2242" s="56"/>
    </row>
    <row r="2243" spans="1:48" s="18" customFormat="1" ht="15.75" customHeight="1">
      <c r="A2243" s="50"/>
      <c r="B2243" s="93" t="s">
        <v>669</v>
      </c>
      <c r="C2243" s="16"/>
      <c r="D2243" s="52"/>
      <c r="E2243" s="52"/>
      <c r="F2243" s="52"/>
      <c r="G2243" s="52"/>
      <c r="H2243" s="52"/>
      <c r="I2243" s="52"/>
      <c r="J2243" s="52"/>
      <c r="K2243" s="52"/>
      <c r="L2243" s="60">
        <v>3</v>
      </c>
      <c r="M2243" s="60">
        <f>M2244</f>
        <v>1</v>
      </c>
      <c r="N2243" s="60" t="str">
        <f>N2244</f>
        <v> -</v>
      </c>
      <c r="O2243" s="60" t="str">
        <f>O2244</f>
        <v> -</v>
      </c>
      <c r="P2243" s="60" t="str">
        <f>P2244</f>
        <v> -</v>
      </c>
      <c r="Q2243" s="23"/>
      <c r="R2243" s="23"/>
      <c r="S2243" s="17"/>
      <c r="T2243" s="47"/>
      <c r="U2243" s="47"/>
      <c r="V2243" s="47"/>
      <c r="W2243" s="47"/>
      <c r="X2243" s="47"/>
      <c r="Y2243" s="47"/>
      <c r="Z2243" s="47"/>
      <c r="AA2243" s="47"/>
      <c r="AB2243" s="47"/>
      <c r="AC2243" s="47"/>
      <c r="AD2243" s="47"/>
      <c r="AE2243" s="47"/>
      <c r="AF2243" s="47"/>
      <c r="AG2243" s="47"/>
      <c r="AH2243" s="47"/>
      <c r="AI2243" s="47"/>
      <c r="AJ2243" s="47"/>
      <c r="AK2243" s="47"/>
      <c r="AL2243" s="47"/>
      <c r="AM2243" s="47"/>
      <c r="AN2243" s="47"/>
      <c r="AO2243" s="47"/>
      <c r="AP2243" s="47"/>
      <c r="AQ2243" s="47"/>
      <c r="AR2243" s="47"/>
      <c r="AS2243" s="47"/>
      <c r="AT2243" s="47"/>
      <c r="AU2243" s="47"/>
      <c r="AV2243" s="47"/>
    </row>
    <row r="2244" spans="1:48" s="18" customFormat="1" ht="15.75" customHeight="1">
      <c r="A2244" s="50"/>
      <c r="B2244" s="97" t="s">
        <v>568</v>
      </c>
      <c r="C2244" s="29" t="s">
        <v>569</v>
      </c>
      <c r="D2244" s="51"/>
      <c r="E2244" s="51"/>
      <c r="F2244" s="51"/>
      <c r="G2244" s="51" t="s">
        <v>556</v>
      </c>
      <c r="H2244" s="51">
        <v>1</v>
      </c>
      <c r="I2244" s="51">
        <v>1</v>
      </c>
      <c r="J2244" s="51">
        <v>1</v>
      </c>
      <c r="K2244" s="51">
        <v>1</v>
      </c>
      <c r="L2244" s="40" t="s">
        <v>556</v>
      </c>
      <c r="M2244" s="40">
        <v>1</v>
      </c>
      <c r="N2244" s="40" t="s">
        <v>556</v>
      </c>
      <c r="O2244" s="40" t="s">
        <v>556</v>
      </c>
      <c r="P2244" s="40" t="s">
        <v>556</v>
      </c>
      <c r="Q2244" s="77"/>
      <c r="R2244" s="77"/>
      <c r="S2244" s="78"/>
      <c r="T2244" s="47"/>
      <c r="U2244" s="47"/>
      <c r="V2244" s="47"/>
      <c r="W2244" s="47"/>
      <c r="X2244" s="47"/>
      <c r="Y2244" s="47"/>
      <c r="Z2244" s="47"/>
      <c r="AA2244" s="47"/>
      <c r="AB2244" s="47"/>
      <c r="AC2244" s="47"/>
      <c r="AD2244" s="47"/>
      <c r="AE2244" s="47"/>
      <c r="AF2244" s="47"/>
      <c r="AG2244" s="47"/>
      <c r="AH2244" s="47"/>
      <c r="AI2244" s="47"/>
      <c r="AJ2244" s="47"/>
      <c r="AK2244" s="47"/>
      <c r="AL2244" s="47"/>
      <c r="AM2244" s="47"/>
      <c r="AN2244" s="47"/>
      <c r="AO2244" s="47"/>
      <c r="AP2244" s="47"/>
      <c r="AQ2244" s="47"/>
      <c r="AR2244" s="47"/>
      <c r="AS2244" s="47"/>
      <c r="AT2244" s="47"/>
      <c r="AU2244" s="47"/>
      <c r="AV2244" s="47"/>
    </row>
    <row r="2245" spans="1:48" s="18" customFormat="1" ht="15.75" customHeight="1">
      <c r="A2245" s="50"/>
      <c r="B2245" s="111" t="s">
        <v>559</v>
      </c>
      <c r="C2245" s="15">
        <v>37020339</v>
      </c>
      <c r="D2245" s="51"/>
      <c r="E2245" s="51"/>
      <c r="F2245" s="51"/>
      <c r="G2245" s="51">
        <v>21</v>
      </c>
      <c r="H2245" s="51">
        <v>21</v>
      </c>
      <c r="I2245" s="51">
        <v>21</v>
      </c>
      <c r="J2245" s="51">
        <v>21</v>
      </c>
      <c r="K2245" s="51">
        <v>21</v>
      </c>
      <c r="L2245" s="40">
        <v>3</v>
      </c>
      <c r="M2245" s="40"/>
      <c r="N2245" s="40"/>
      <c r="O2245" s="40"/>
      <c r="P2245" s="40"/>
      <c r="Q2245" s="77"/>
      <c r="R2245" s="77"/>
      <c r="S2245" s="78"/>
      <c r="T2245" s="47"/>
      <c r="U2245" s="47"/>
      <c r="V2245" s="47"/>
      <c r="W2245" s="47"/>
      <c r="X2245" s="47"/>
      <c r="Y2245" s="47"/>
      <c r="Z2245" s="47"/>
      <c r="AA2245" s="47"/>
      <c r="AB2245" s="47"/>
      <c r="AC2245" s="47"/>
      <c r="AD2245" s="47"/>
      <c r="AE2245" s="47"/>
      <c r="AF2245" s="47"/>
      <c r="AG2245" s="47"/>
      <c r="AH2245" s="47"/>
      <c r="AI2245" s="47"/>
      <c r="AJ2245" s="47"/>
      <c r="AK2245" s="47"/>
      <c r="AL2245" s="47"/>
      <c r="AM2245" s="47"/>
      <c r="AN2245" s="47"/>
      <c r="AO2245" s="47"/>
      <c r="AP2245" s="47"/>
      <c r="AQ2245" s="47"/>
      <c r="AR2245" s="47"/>
      <c r="AS2245" s="47"/>
      <c r="AT2245" s="47"/>
      <c r="AU2245" s="47"/>
      <c r="AV2245" s="47"/>
    </row>
    <row r="2246" spans="1:48" s="18" customFormat="1" ht="15.75" customHeight="1">
      <c r="A2246" s="50"/>
      <c r="B2246" s="93" t="s">
        <v>670</v>
      </c>
      <c r="C2246" s="16"/>
      <c r="D2246" s="51"/>
      <c r="E2246" s="51"/>
      <c r="F2246" s="51"/>
      <c r="G2246" s="51"/>
      <c r="H2246" s="51"/>
      <c r="I2246" s="51"/>
      <c r="J2246" s="51"/>
      <c r="K2246" s="51"/>
      <c r="L2246" s="60">
        <f>L2247</f>
        <v>5</v>
      </c>
      <c r="M2246" s="60" t="str">
        <f>M2247</f>
        <v> -</v>
      </c>
      <c r="N2246" s="60" t="str">
        <f>N2247</f>
        <v> -</v>
      </c>
      <c r="O2246" s="60" t="str">
        <f>O2247</f>
        <v> -</v>
      </c>
      <c r="P2246" s="60" t="str">
        <f>P2247</f>
        <v> -</v>
      </c>
      <c r="Q2246" s="23"/>
      <c r="R2246" s="23"/>
      <c r="S2246" s="17"/>
      <c r="T2246" s="47"/>
      <c r="U2246" s="47"/>
      <c r="V2246" s="47"/>
      <c r="W2246" s="47"/>
      <c r="X2246" s="47"/>
      <c r="Y2246" s="47"/>
      <c r="Z2246" s="47"/>
      <c r="AA2246" s="47"/>
      <c r="AB2246" s="47"/>
      <c r="AC2246" s="47"/>
      <c r="AD2246" s="47"/>
      <c r="AE2246" s="47"/>
      <c r="AF2246" s="47"/>
      <c r="AG2246" s="47"/>
      <c r="AH2246" s="47"/>
      <c r="AI2246" s="47"/>
      <c r="AJ2246" s="47"/>
      <c r="AK2246" s="47"/>
      <c r="AL2246" s="47"/>
      <c r="AM2246" s="47"/>
      <c r="AN2246" s="47"/>
      <c r="AO2246" s="47"/>
      <c r="AP2246" s="47"/>
      <c r="AQ2246" s="47"/>
      <c r="AR2246" s="47"/>
      <c r="AS2246" s="47"/>
      <c r="AT2246" s="47"/>
      <c r="AU2246" s="47"/>
      <c r="AV2246" s="47"/>
    </row>
    <row r="2247" spans="1:48" s="18" customFormat="1" ht="15.75" customHeight="1">
      <c r="A2247" s="50"/>
      <c r="B2247" s="117" t="s">
        <v>512</v>
      </c>
      <c r="C2247" s="64" t="s">
        <v>513</v>
      </c>
      <c r="D2247" s="51"/>
      <c r="E2247" s="51"/>
      <c r="F2247" s="51">
        <v>3</v>
      </c>
      <c r="G2247" s="51">
        <v>9</v>
      </c>
      <c r="H2247" s="51">
        <v>9</v>
      </c>
      <c r="I2247" s="51">
        <v>9</v>
      </c>
      <c r="J2247" s="51">
        <v>9</v>
      </c>
      <c r="K2247" s="51">
        <v>9</v>
      </c>
      <c r="L2247" s="40">
        <v>5</v>
      </c>
      <c r="M2247" s="40" t="s">
        <v>556</v>
      </c>
      <c r="N2247" s="40" t="s">
        <v>556</v>
      </c>
      <c r="O2247" s="40" t="s">
        <v>556</v>
      </c>
      <c r="P2247" s="40" t="s">
        <v>556</v>
      </c>
      <c r="Q2247" s="77"/>
      <c r="R2247" s="77"/>
      <c r="S2247" s="78"/>
      <c r="T2247" s="47"/>
      <c r="U2247" s="47"/>
      <c r="V2247" s="47"/>
      <c r="W2247" s="47"/>
      <c r="X2247" s="47"/>
      <c r="Y2247" s="47"/>
      <c r="Z2247" s="47"/>
      <c r="AA2247" s="47"/>
      <c r="AB2247" s="47"/>
      <c r="AC2247" s="47"/>
      <c r="AD2247" s="47"/>
      <c r="AE2247" s="47"/>
      <c r="AF2247" s="47"/>
      <c r="AG2247" s="47"/>
      <c r="AH2247" s="47"/>
      <c r="AI2247" s="47"/>
      <c r="AJ2247" s="47"/>
      <c r="AK2247" s="47"/>
      <c r="AL2247" s="47"/>
      <c r="AM2247" s="47"/>
      <c r="AN2247" s="47"/>
      <c r="AO2247" s="47"/>
      <c r="AP2247" s="47"/>
      <c r="AQ2247" s="47"/>
      <c r="AR2247" s="47"/>
      <c r="AS2247" s="47"/>
      <c r="AT2247" s="47"/>
      <c r="AU2247" s="47"/>
      <c r="AV2247" s="47"/>
    </row>
    <row r="2248" spans="1:188" s="57" customFormat="1" ht="15.75" customHeight="1">
      <c r="A2248" s="13">
        <v>21</v>
      </c>
      <c r="B2248" s="92" t="s">
        <v>946</v>
      </c>
      <c r="C2248" s="45"/>
      <c r="D2248" s="44">
        <v>21</v>
      </c>
      <c r="E2248" s="44">
        <v>5</v>
      </c>
      <c r="F2248" s="44"/>
      <c r="G2248" s="44">
        <v>10</v>
      </c>
      <c r="H2248" s="44">
        <v>12</v>
      </c>
      <c r="I2248" s="44">
        <v>15</v>
      </c>
      <c r="J2248" s="44">
        <v>15</v>
      </c>
      <c r="K2248" s="44">
        <v>16</v>
      </c>
      <c r="L2248" s="44">
        <f>L2249</f>
        <v>1</v>
      </c>
      <c r="M2248" s="44" t="str">
        <f aca="true" t="shared" si="69" ref="M2248:P2249">M2249</f>
        <v> -</v>
      </c>
      <c r="N2248" s="44" t="str">
        <f t="shared" si="69"/>
        <v> -</v>
      </c>
      <c r="O2248" s="44" t="str">
        <f t="shared" si="69"/>
        <v> -</v>
      </c>
      <c r="P2248" s="44" t="str">
        <f t="shared" si="69"/>
        <v> -</v>
      </c>
      <c r="Q2248" s="54" t="s">
        <v>649</v>
      </c>
      <c r="R2248" s="54">
        <v>7</v>
      </c>
      <c r="S2248" s="55" t="s">
        <v>590</v>
      </c>
      <c r="T2248" s="56"/>
      <c r="U2248" s="56"/>
      <c r="V2248" s="56"/>
      <c r="W2248" s="56"/>
      <c r="X2248" s="56"/>
      <c r="Y2248" s="56"/>
      <c r="Z2248" s="56"/>
      <c r="AA2248" s="56"/>
      <c r="AB2248" s="56"/>
      <c r="AC2248" s="56"/>
      <c r="AD2248" s="56"/>
      <c r="AE2248" s="56"/>
      <c r="AF2248" s="56"/>
      <c r="AG2248" s="56"/>
      <c r="AH2248" s="56"/>
      <c r="AI2248" s="56"/>
      <c r="AJ2248" s="56"/>
      <c r="AK2248" s="56"/>
      <c r="AL2248" s="56"/>
      <c r="AM2248" s="56"/>
      <c r="AN2248" s="56"/>
      <c r="AO2248" s="56"/>
      <c r="AP2248" s="56"/>
      <c r="AQ2248" s="56"/>
      <c r="AR2248" s="56"/>
      <c r="AS2248" s="56"/>
      <c r="AT2248" s="56"/>
      <c r="AU2248" s="56"/>
      <c r="AV2248" s="56"/>
      <c r="AW2248" s="56"/>
      <c r="AX2248" s="56"/>
      <c r="AY2248" s="56"/>
      <c r="AZ2248" s="56"/>
      <c r="BA2248" s="56"/>
      <c r="BB2248" s="56"/>
      <c r="BC2248" s="56"/>
      <c r="BD2248" s="56"/>
      <c r="BE2248" s="56"/>
      <c r="BF2248" s="56"/>
      <c r="BG2248" s="56"/>
      <c r="BH2248" s="56"/>
      <c r="BI2248" s="56"/>
      <c r="BJ2248" s="56"/>
      <c r="BK2248" s="56"/>
      <c r="BL2248" s="56"/>
      <c r="BM2248" s="56"/>
      <c r="BN2248" s="56"/>
      <c r="BO2248" s="56"/>
      <c r="BP2248" s="56"/>
      <c r="BQ2248" s="56"/>
      <c r="BR2248" s="56"/>
      <c r="BS2248" s="56"/>
      <c r="BT2248" s="56"/>
      <c r="BU2248" s="56"/>
      <c r="BV2248" s="56"/>
      <c r="BW2248" s="56"/>
      <c r="BX2248" s="56"/>
      <c r="BY2248" s="56"/>
      <c r="BZ2248" s="56"/>
      <c r="CA2248" s="56"/>
      <c r="CB2248" s="56"/>
      <c r="CC2248" s="56"/>
      <c r="CD2248" s="56"/>
      <c r="CE2248" s="56"/>
      <c r="CF2248" s="56"/>
      <c r="CG2248" s="56"/>
      <c r="CH2248" s="56"/>
      <c r="CI2248" s="56"/>
      <c r="CJ2248" s="56"/>
      <c r="CK2248" s="56"/>
      <c r="CL2248" s="56"/>
      <c r="CM2248" s="56"/>
      <c r="CN2248" s="56"/>
      <c r="CO2248" s="56"/>
      <c r="CP2248" s="56"/>
      <c r="CQ2248" s="56"/>
      <c r="CR2248" s="56"/>
      <c r="CS2248" s="56"/>
      <c r="CT2248" s="56"/>
      <c r="CU2248" s="56"/>
      <c r="CV2248" s="56"/>
      <c r="CW2248" s="56"/>
      <c r="CX2248" s="56"/>
      <c r="CY2248" s="56"/>
      <c r="CZ2248" s="56"/>
      <c r="DA2248" s="56"/>
      <c r="DB2248" s="56"/>
      <c r="DC2248" s="56"/>
      <c r="DD2248" s="56"/>
      <c r="DE2248" s="56"/>
      <c r="DF2248" s="56"/>
      <c r="DG2248" s="56"/>
      <c r="DH2248" s="56"/>
      <c r="DI2248" s="56"/>
      <c r="DJ2248" s="56"/>
      <c r="DK2248" s="56"/>
      <c r="DL2248" s="56"/>
      <c r="DM2248" s="56"/>
      <c r="DN2248" s="56"/>
      <c r="DO2248" s="56"/>
      <c r="DP2248" s="56"/>
      <c r="DQ2248" s="56"/>
      <c r="DR2248" s="56"/>
      <c r="DS2248" s="56"/>
      <c r="DT2248" s="56"/>
      <c r="DU2248" s="56"/>
      <c r="DV2248" s="56"/>
      <c r="DW2248" s="56"/>
      <c r="DX2248" s="56"/>
      <c r="DY2248" s="56"/>
      <c r="DZ2248" s="56"/>
      <c r="EA2248" s="56"/>
      <c r="EB2248" s="56"/>
      <c r="EC2248" s="56"/>
      <c r="ED2248" s="56"/>
      <c r="EE2248" s="56"/>
      <c r="EF2248" s="56"/>
      <c r="EG2248" s="56"/>
      <c r="EH2248" s="56"/>
      <c r="EI2248" s="56"/>
      <c r="EJ2248" s="56"/>
      <c r="EK2248" s="56"/>
      <c r="EL2248" s="56"/>
      <c r="EM2248" s="56"/>
      <c r="EN2248" s="56"/>
      <c r="EO2248" s="56"/>
      <c r="EP2248" s="56"/>
      <c r="EQ2248" s="56"/>
      <c r="ER2248" s="56"/>
      <c r="ES2248" s="56"/>
      <c r="ET2248" s="56"/>
      <c r="EU2248" s="56"/>
      <c r="EV2248" s="56"/>
      <c r="EW2248" s="56"/>
      <c r="EX2248" s="56"/>
      <c r="EY2248" s="56"/>
      <c r="EZ2248" s="56"/>
      <c r="FA2248" s="56"/>
      <c r="FB2248" s="56"/>
      <c r="FC2248" s="56"/>
      <c r="FD2248" s="56"/>
      <c r="FE2248" s="56"/>
      <c r="FF2248" s="56"/>
      <c r="FG2248" s="56"/>
      <c r="FH2248" s="56"/>
      <c r="FI2248" s="56"/>
      <c r="FJ2248" s="56"/>
      <c r="FK2248" s="56"/>
      <c r="FL2248" s="56"/>
      <c r="FM2248" s="56"/>
      <c r="FN2248" s="56"/>
      <c r="FO2248" s="56"/>
      <c r="FP2248" s="56"/>
      <c r="FQ2248" s="56"/>
      <c r="FR2248" s="56"/>
      <c r="FS2248" s="56"/>
      <c r="FT2248" s="56"/>
      <c r="FU2248" s="56"/>
      <c r="FV2248" s="56"/>
      <c r="FW2248" s="56"/>
      <c r="FX2248" s="56"/>
      <c r="FY2248" s="56"/>
      <c r="FZ2248" s="56"/>
      <c r="GA2248" s="56"/>
      <c r="GB2248" s="56"/>
      <c r="GC2248" s="56"/>
      <c r="GD2248" s="56"/>
      <c r="GE2248" s="56"/>
      <c r="GF2248" s="56"/>
    </row>
    <row r="2249" spans="1:48" s="18" customFormat="1" ht="15.75" customHeight="1">
      <c r="A2249" s="50"/>
      <c r="B2249" s="93" t="s">
        <v>669</v>
      </c>
      <c r="C2249" s="16"/>
      <c r="D2249" s="52"/>
      <c r="E2249" s="52"/>
      <c r="F2249" s="52"/>
      <c r="G2249" s="52"/>
      <c r="H2249" s="52"/>
      <c r="I2249" s="52"/>
      <c r="J2249" s="52"/>
      <c r="K2249" s="52"/>
      <c r="L2249" s="60">
        <f>L2250</f>
        <v>1</v>
      </c>
      <c r="M2249" s="60" t="str">
        <f t="shared" si="69"/>
        <v> -</v>
      </c>
      <c r="N2249" s="60" t="str">
        <f t="shared" si="69"/>
        <v> -</v>
      </c>
      <c r="O2249" s="60" t="str">
        <f t="shared" si="69"/>
        <v> -</v>
      </c>
      <c r="P2249" s="60" t="str">
        <f t="shared" si="69"/>
        <v> -</v>
      </c>
      <c r="Q2249" s="23"/>
      <c r="R2249" s="23"/>
      <c r="S2249" s="17"/>
      <c r="T2249" s="47"/>
      <c r="U2249" s="47"/>
      <c r="V2249" s="47"/>
      <c r="W2249" s="47"/>
      <c r="X2249" s="47"/>
      <c r="Y2249" s="47"/>
      <c r="Z2249" s="47"/>
      <c r="AA2249" s="47"/>
      <c r="AB2249" s="47"/>
      <c r="AC2249" s="47"/>
      <c r="AD2249" s="47"/>
      <c r="AE2249" s="47"/>
      <c r="AF2249" s="47"/>
      <c r="AG2249" s="47"/>
      <c r="AH2249" s="47"/>
      <c r="AI2249" s="47"/>
      <c r="AJ2249" s="47"/>
      <c r="AK2249" s="47"/>
      <c r="AL2249" s="47"/>
      <c r="AM2249" s="47"/>
      <c r="AN2249" s="47"/>
      <c r="AO2249" s="47"/>
      <c r="AP2249" s="47"/>
      <c r="AQ2249" s="47"/>
      <c r="AR2249" s="47"/>
      <c r="AS2249" s="47"/>
      <c r="AT2249" s="47"/>
      <c r="AU2249" s="47"/>
      <c r="AV2249" s="47"/>
    </row>
    <row r="2250" spans="1:48" s="18" customFormat="1" ht="15.75" customHeight="1">
      <c r="A2250" s="50"/>
      <c r="B2250" s="97" t="s">
        <v>555</v>
      </c>
      <c r="C2250" s="29" t="s">
        <v>445</v>
      </c>
      <c r="D2250" s="51"/>
      <c r="E2250" s="51"/>
      <c r="F2250" s="51"/>
      <c r="G2250" s="51"/>
      <c r="H2250" s="51"/>
      <c r="I2250" s="51"/>
      <c r="J2250" s="51"/>
      <c r="K2250" s="51"/>
      <c r="L2250" s="40">
        <v>1</v>
      </c>
      <c r="M2250" s="40" t="s">
        <v>556</v>
      </c>
      <c r="N2250" s="40" t="s">
        <v>556</v>
      </c>
      <c r="O2250" s="40" t="s">
        <v>556</v>
      </c>
      <c r="P2250" s="40" t="s">
        <v>556</v>
      </c>
      <c r="Q2250" s="77"/>
      <c r="R2250" s="77"/>
      <c r="S2250" s="78"/>
      <c r="T2250" s="47"/>
      <c r="U2250" s="47"/>
      <c r="V2250" s="47"/>
      <c r="W2250" s="47"/>
      <c r="X2250" s="47"/>
      <c r="Y2250" s="47"/>
      <c r="Z2250" s="47"/>
      <c r="AA2250" s="47"/>
      <c r="AB2250" s="47"/>
      <c r="AC2250" s="47"/>
      <c r="AD2250" s="47"/>
      <c r="AE2250" s="47"/>
      <c r="AF2250" s="47"/>
      <c r="AG2250" s="47"/>
      <c r="AH2250" s="47"/>
      <c r="AI2250" s="47"/>
      <c r="AJ2250" s="47"/>
      <c r="AK2250" s="47"/>
      <c r="AL2250" s="47"/>
      <c r="AM2250" s="47"/>
      <c r="AN2250" s="47"/>
      <c r="AO2250" s="47"/>
      <c r="AP2250" s="47"/>
      <c r="AQ2250" s="47"/>
      <c r="AR2250" s="47"/>
      <c r="AS2250" s="47"/>
      <c r="AT2250" s="47"/>
      <c r="AU2250" s="47"/>
      <c r="AV2250" s="47"/>
    </row>
    <row r="2251" spans="1:188" s="57" customFormat="1" ht="15.75" customHeight="1">
      <c r="A2251" s="13">
        <v>22</v>
      </c>
      <c r="B2251" s="92" t="s">
        <v>288</v>
      </c>
      <c r="C2251" s="45"/>
      <c r="D2251" s="44">
        <v>47</v>
      </c>
      <c r="E2251" s="44"/>
      <c r="F2251" s="44"/>
      <c r="G2251" s="44">
        <v>58</v>
      </c>
      <c r="H2251" s="44">
        <v>59</v>
      </c>
      <c r="I2251" s="44">
        <v>59</v>
      </c>
      <c r="J2251" s="44">
        <v>59</v>
      </c>
      <c r="K2251" s="44">
        <v>59</v>
      </c>
      <c r="L2251" s="44">
        <f>L2252</f>
        <v>3</v>
      </c>
      <c r="M2251" s="44">
        <f>M2252</f>
        <v>1</v>
      </c>
      <c r="N2251" s="44">
        <f>N2252</f>
        <v>3</v>
      </c>
      <c r="O2251" s="44">
        <f>O2252</f>
        <v>2</v>
      </c>
      <c r="P2251" s="44">
        <f>P2252</f>
        <v>3</v>
      </c>
      <c r="Q2251" s="54" t="s">
        <v>649</v>
      </c>
      <c r="R2251" s="54">
        <v>7</v>
      </c>
      <c r="S2251" s="55" t="s">
        <v>590</v>
      </c>
      <c r="T2251" s="56"/>
      <c r="U2251" s="56"/>
      <c r="V2251" s="56"/>
      <c r="W2251" s="56"/>
      <c r="X2251" s="56"/>
      <c r="Y2251" s="56"/>
      <c r="Z2251" s="56"/>
      <c r="AA2251" s="56"/>
      <c r="AB2251" s="56"/>
      <c r="AC2251" s="56"/>
      <c r="AD2251" s="56"/>
      <c r="AE2251" s="56"/>
      <c r="AF2251" s="56"/>
      <c r="AG2251" s="56"/>
      <c r="AH2251" s="56"/>
      <c r="AI2251" s="56"/>
      <c r="AJ2251" s="56"/>
      <c r="AK2251" s="56"/>
      <c r="AL2251" s="56"/>
      <c r="AM2251" s="56"/>
      <c r="AN2251" s="56"/>
      <c r="AO2251" s="56"/>
      <c r="AP2251" s="56"/>
      <c r="AQ2251" s="56"/>
      <c r="AR2251" s="56"/>
      <c r="AS2251" s="56"/>
      <c r="AT2251" s="56"/>
      <c r="AU2251" s="56"/>
      <c r="AV2251" s="56"/>
      <c r="AW2251" s="56"/>
      <c r="AX2251" s="56"/>
      <c r="AY2251" s="56"/>
      <c r="AZ2251" s="56"/>
      <c r="BA2251" s="56"/>
      <c r="BB2251" s="56"/>
      <c r="BC2251" s="56"/>
      <c r="BD2251" s="56"/>
      <c r="BE2251" s="56"/>
      <c r="BF2251" s="56"/>
      <c r="BG2251" s="56"/>
      <c r="BH2251" s="56"/>
      <c r="BI2251" s="56"/>
      <c r="BJ2251" s="56"/>
      <c r="BK2251" s="56"/>
      <c r="BL2251" s="56"/>
      <c r="BM2251" s="56"/>
      <c r="BN2251" s="56"/>
      <c r="BO2251" s="56"/>
      <c r="BP2251" s="56"/>
      <c r="BQ2251" s="56"/>
      <c r="BR2251" s="56"/>
      <c r="BS2251" s="56"/>
      <c r="BT2251" s="56"/>
      <c r="BU2251" s="56"/>
      <c r="BV2251" s="56"/>
      <c r="BW2251" s="56"/>
      <c r="BX2251" s="56"/>
      <c r="BY2251" s="56"/>
      <c r="BZ2251" s="56"/>
      <c r="CA2251" s="56"/>
      <c r="CB2251" s="56"/>
      <c r="CC2251" s="56"/>
      <c r="CD2251" s="56"/>
      <c r="CE2251" s="56"/>
      <c r="CF2251" s="56"/>
      <c r="CG2251" s="56"/>
      <c r="CH2251" s="56"/>
      <c r="CI2251" s="56"/>
      <c r="CJ2251" s="56"/>
      <c r="CK2251" s="56"/>
      <c r="CL2251" s="56"/>
      <c r="CM2251" s="56"/>
      <c r="CN2251" s="56"/>
      <c r="CO2251" s="56"/>
      <c r="CP2251" s="56"/>
      <c r="CQ2251" s="56"/>
      <c r="CR2251" s="56"/>
      <c r="CS2251" s="56"/>
      <c r="CT2251" s="56"/>
      <c r="CU2251" s="56"/>
      <c r="CV2251" s="56"/>
      <c r="CW2251" s="56"/>
      <c r="CX2251" s="56"/>
      <c r="CY2251" s="56"/>
      <c r="CZ2251" s="56"/>
      <c r="DA2251" s="56"/>
      <c r="DB2251" s="56"/>
      <c r="DC2251" s="56"/>
      <c r="DD2251" s="56"/>
      <c r="DE2251" s="56"/>
      <c r="DF2251" s="56"/>
      <c r="DG2251" s="56"/>
      <c r="DH2251" s="56"/>
      <c r="DI2251" s="56"/>
      <c r="DJ2251" s="56"/>
      <c r="DK2251" s="56"/>
      <c r="DL2251" s="56"/>
      <c r="DM2251" s="56"/>
      <c r="DN2251" s="56"/>
      <c r="DO2251" s="56"/>
      <c r="DP2251" s="56"/>
      <c r="DQ2251" s="56"/>
      <c r="DR2251" s="56"/>
      <c r="DS2251" s="56"/>
      <c r="DT2251" s="56"/>
      <c r="DU2251" s="56"/>
      <c r="DV2251" s="56"/>
      <c r="DW2251" s="56"/>
      <c r="DX2251" s="56"/>
      <c r="DY2251" s="56"/>
      <c r="DZ2251" s="56"/>
      <c r="EA2251" s="56"/>
      <c r="EB2251" s="56"/>
      <c r="EC2251" s="56"/>
      <c r="ED2251" s="56"/>
      <c r="EE2251" s="56"/>
      <c r="EF2251" s="56"/>
      <c r="EG2251" s="56"/>
      <c r="EH2251" s="56"/>
      <c r="EI2251" s="56"/>
      <c r="EJ2251" s="56"/>
      <c r="EK2251" s="56"/>
      <c r="EL2251" s="56"/>
      <c r="EM2251" s="56"/>
      <c r="EN2251" s="56"/>
      <c r="EO2251" s="56"/>
      <c r="EP2251" s="56"/>
      <c r="EQ2251" s="56"/>
      <c r="ER2251" s="56"/>
      <c r="ES2251" s="56"/>
      <c r="ET2251" s="56"/>
      <c r="EU2251" s="56"/>
      <c r="EV2251" s="56"/>
      <c r="EW2251" s="56"/>
      <c r="EX2251" s="56"/>
      <c r="EY2251" s="56"/>
      <c r="EZ2251" s="56"/>
      <c r="FA2251" s="56"/>
      <c r="FB2251" s="56"/>
      <c r="FC2251" s="56"/>
      <c r="FD2251" s="56"/>
      <c r="FE2251" s="56"/>
      <c r="FF2251" s="56"/>
      <c r="FG2251" s="56"/>
      <c r="FH2251" s="56"/>
      <c r="FI2251" s="56"/>
      <c r="FJ2251" s="56"/>
      <c r="FK2251" s="56"/>
      <c r="FL2251" s="56"/>
      <c r="FM2251" s="56"/>
      <c r="FN2251" s="56"/>
      <c r="FO2251" s="56"/>
      <c r="FP2251" s="56"/>
      <c r="FQ2251" s="56"/>
      <c r="FR2251" s="56"/>
      <c r="FS2251" s="56"/>
      <c r="FT2251" s="56"/>
      <c r="FU2251" s="56"/>
      <c r="FV2251" s="56"/>
      <c r="FW2251" s="56"/>
      <c r="FX2251" s="56"/>
      <c r="FY2251" s="56"/>
      <c r="FZ2251" s="56"/>
      <c r="GA2251" s="56"/>
      <c r="GB2251" s="56"/>
      <c r="GC2251" s="56"/>
      <c r="GD2251" s="56"/>
      <c r="GE2251" s="56"/>
      <c r="GF2251" s="56"/>
    </row>
    <row r="2252" spans="1:48" s="18" customFormat="1" ht="15.75" customHeight="1">
      <c r="A2252" s="50"/>
      <c r="B2252" s="93" t="s">
        <v>670</v>
      </c>
      <c r="C2252" s="16"/>
      <c r="D2252" s="51"/>
      <c r="E2252" s="51"/>
      <c r="F2252" s="51"/>
      <c r="G2252" s="51"/>
      <c r="H2252" s="51"/>
      <c r="I2252" s="51"/>
      <c r="J2252" s="51"/>
      <c r="K2252" s="51"/>
      <c r="L2252" s="60">
        <f>SUM(L2253:L2255)</f>
        <v>3</v>
      </c>
      <c r="M2252" s="60">
        <f aca="true" t="shared" si="70" ref="M2252:S2252">SUM(M2253:M2255)</f>
        <v>1</v>
      </c>
      <c r="N2252" s="60">
        <f t="shared" si="70"/>
        <v>3</v>
      </c>
      <c r="O2252" s="60">
        <f t="shared" si="70"/>
        <v>2</v>
      </c>
      <c r="P2252" s="60">
        <f t="shared" si="70"/>
        <v>3</v>
      </c>
      <c r="Q2252" s="256">
        <f t="shared" si="70"/>
        <v>0</v>
      </c>
      <c r="R2252" s="100">
        <f t="shared" si="70"/>
        <v>0</v>
      </c>
      <c r="S2252" s="100">
        <f t="shared" si="70"/>
        <v>0</v>
      </c>
      <c r="T2252" s="47"/>
      <c r="U2252" s="47"/>
      <c r="V2252" s="47"/>
      <c r="W2252" s="47"/>
      <c r="X2252" s="47"/>
      <c r="Y2252" s="47"/>
      <c r="Z2252" s="47"/>
      <c r="AA2252" s="47"/>
      <c r="AB2252" s="47"/>
      <c r="AC2252" s="47"/>
      <c r="AD2252" s="47"/>
      <c r="AE2252" s="47"/>
      <c r="AF2252" s="47"/>
      <c r="AG2252" s="47"/>
      <c r="AH2252" s="47"/>
      <c r="AI2252" s="47"/>
      <c r="AJ2252" s="47"/>
      <c r="AK2252" s="47"/>
      <c r="AL2252" s="47"/>
      <c r="AM2252" s="47"/>
      <c r="AN2252" s="47"/>
      <c r="AO2252" s="47"/>
      <c r="AP2252" s="47"/>
      <c r="AQ2252" s="47"/>
      <c r="AR2252" s="47"/>
      <c r="AS2252" s="47"/>
      <c r="AT2252" s="47"/>
      <c r="AU2252" s="47"/>
      <c r="AV2252" s="47"/>
    </row>
    <row r="2253" spans="1:48" s="18" customFormat="1" ht="15.75" customHeight="1">
      <c r="A2253" s="50"/>
      <c r="B2253" s="111" t="s">
        <v>422</v>
      </c>
      <c r="C2253" s="15" t="s">
        <v>423</v>
      </c>
      <c r="D2253" s="51"/>
      <c r="E2253" s="51"/>
      <c r="F2253" s="51">
        <v>3</v>
      </c>
      <c r="G2253" s="51">
        <v>9</v>
      </c>
      <c r="H2253" s="51">
        <v>9</v>
      </c>
      <c r="I2253" s="51">
        <v>9</v>
      </c>
      <c r="J2253" s="51">
        <v>9</v>
      </c>
      <c r="K2253" s="51">
        <v>9</v>
      </c>
      <c r="L2253" s="40">
        <v>2</v>
      </c>
      <c r="M2253" s="40" t="s">
        <v>556</v>
      </c>
      <c r="N2253" s="40">
        <v>2</v>
      </c>
      <c r="O2253" s="40" t="s">
        <v>556</v>
      </c>
      <c r="P2253" s="40">
        <v>2</v>
      </c>
      <c r="Q2253" s="77"/>
      <c r="R2253" s="77"/>
      <c r="S2253" s="78"/>
      <c r="T2253" s="47"/>
      <c r="U2253" s="47"/>
      <c r="V2253" s="47"/>
      <c r="W2253" s="47"/>
      <c r="X2253" s="47"/>
      <c r="Y2253" s="47"/>
      <c r="Z2253" s="47"/>
      <c r="AA2253" s="47"/>
      <c r="AB2253" s="47"/>
      <c r="AC2253" s="47"/>
      <c r="AD2253" s="47"/>
      <c r="AE2253" s="47"/>
      <c r="AF2253" s="47"/>
      <c r="AG2253" s="47"/>
      <c r="AH2253" s="47"/>
      <c r="AI2253" s="47"/>
      <c r="AJ2253" s="47"/>
      <c r="AK2253" s="47"/>
      <c r="AL2253" s="47"/>
      <c r="AM2253" s="47"/>
      <c r="AN2253" s="47"/>
      <c r="AO2253" s="47"/>
      <c r="AP2253" s="47"/>
      <c r="AQ2253" s="47"/>
      <c r="AR2253" s="47"/>
      <c r="AS2253" s="47"/>
      <c r="AT2253" s="47"/>
      <c r="AU2253" s="47"/>
      <c r="AV2253" s="47"/>
    </row>
    <row r="2254" spans="1:48" s="18" customFormat="1" ht="30.75" customHeight="1">
      <c r="A2254" s="50"/>
      <c r="B2254" s="97" t="s">
        <v>280</v>
      </c>
      <c r="C2254" s="66" t="s">
        <v>281</v>
      </c>
      <c r="D2254" s="51"/>
      <c r="E2254" s="51"/>
      <c r="F2254" s="51"/>
      <c r="G2254" s="51"/>
      <c r="H2254" s="51"/>
      <c r="I2254" s="51"/>
      <c r="J2254" s="51"/>
      <c r="K2254" s="51"/>
      <c r="L2254" s="40">
        <v>1</v>
      </c>
      <c r="M2254" s="40">
        <v>1</v>
      </c>
      <c r="N2254" s="40">
        <v>1</v>
      </c>
      <c r="O2254" s="40">
        <v>1</v>
      </c>
      <c r="P2254" s="40">
        <v>1</v>
      </c>
      <c r="Q2254" s="77"/>
      <c r="R2254" s="77"/>
      <c r="S2254" s="78"/>
      <c r="T2254" s="47"/>
      <c r="U2254" s="47"/>
      <c r="V2254" s="47"/>
      <c r="W2254" s="47"/>
      <c r="X2254" s="47"/>
      <c r="Y2254" s="47"/>
      <c r="Z2254" s="47"/>
      <c r="AA2254" s="47"/>
      <c r="AB2254" s="47"/>
      <c r="AC2254" s="47"/>
      <c r="AD2254" s="47"/>
      <c r="AE2254" s="47"/>
      <c r="AF2254" s="47"/>
      <c r="AG2254" s="47"/>
      <c r="AH2254" s="47"/>
      <c r="AI2254" s="47"/>
      <c r="AJ2254" s="47"/>
      <c r="AK2254" s="47"/>
      <c r="AL2254" s="47"/>
      <c r="AM2254" s="47"/>
      <c r="AN2254" s="47"/>
      <c r="AO2254" s="47"/>
      <c r="AP2254" s="47"/>
      <c r="AQ2254" s="47"/>
      <c r="AR2254" s="47"/>
      <c r="AS2254" s="47"/>
      <c r="AT2254" s="47"/>
      <c r="AU2254" s="47"/>
      <c r="AV2254" s="47"/>
    </row>
    <row r="2255" spans="1:48" s="18" customFormat="1" ht="15.75" customHeight="1">
      <c r="A2255" s="50"/>
      <c r="B2255" s="97" t="s">
        <v>561</v>
      </c>
      <c r="C2255" s="66" t="s">
        <v>804</v>
      </c>
      <c r="D2255" s="51"/>
      <c r="E2255" s="51"/>
      <c r="F2255" s="51"/>
      <c r="G2255" s="51"/>
      <c r="H2255" s="51"/>
      <c r="I2255" s="51"/>
      <c r="J2255" s="51"/>
      <c r="K2255" s="51"/>
      <c r="L2255" s="40" t="s">
        <v>556</v>
      </c>
      <c r="M2255" s="40" t="s">
        <v>556</v>
      </c>
      <c r="N2255" s="40" t="s">
        <v>556</v>
      </c>
      <c r="O2255" s="40">
        <v>1</v>
      </c>
      <c r="P2255" s="40" t="s">
        <v>556</v>
      </c>
      <c r="Q2255" s="77"/>
      <c r="R2255" s="77"/>
      <c r="S2255" s="78"/>
      <c r="T2255" s="47"/>
      <c r="U2255" s="47"/>
      <c r="V2255" s="47"/>
      <c r="W2255" s="47"/>
      <c r="X2255" s="47"/>
      <c r="Y2255" s="47"/>
      <c r="Z2255" s="47"/>
      <c r="AA2255" s="47"/>
      <c r="AB2255" s="47"/>
      <c r="AC2255" s="47"/>
      <c r="AD2255" s="47"/>
      <c r="AE2255" s="47"/>
      <c r="AF2255" s="47"/>
      <c r="AG2255" s="47"/>
      <c r="AH2255" s="47"/>
      <c r="AI2255" s="47"/>
      <c r="AJ2255" s="47"/>
      <c r="AK2255" s="47"/>
      <c r="AL2255" s="47"/>
      <c r="AM2255" s="47"/>
      <c r="AN2255" s="47"/>
      <c r="AO2255" s="47"/>
      <c r="AP2255" s="47"/>
      <c r="AQ2255" s="47"/>
      <c r="AR2255" s="47"/>
      <c r="AS2255" s="47"/>
      <c r="AT2255" s="47"/>
      <c r="AU2255" s="47"/>
      <c r="AV2255" s="47"/>
    </row>
    <row r="2256" spans="1:19" ht="15" customHeight="1">
      <c r="A2256" s="399" t="s">
        <v>664</v>
      </c>
      <c r="B2256" s="399"/>
      <c r="C2256" s="399"/>
      <c r="D2256" s="399"/>
      <c r="E2256" s="399"/>
      <c r="F2256" s="399"/>
      <c r="G2256" s="399"/>
      <c r="H2256" s="399"/>
      <c r="I2256" s="399"/>
      <c r="J2256" s="399"/>
      <c r="K2256" s="399"/>
      <c r="L2256" s="399"/>
      <c r="M2256" s="399"/>
      <c r="N2256" s="399"/>
      <c r="O2256" s="399"/>
      <c r="P2256" s="399"/>
      <c r="Q2256" s="20"/>
      <c r="R2256" s="20"/>
      <c r="S2256" s="7"/>
    </row>
    <row r="2257" spans="1:19" ht="13.5" customHeight="1">
      <c r="A2257" s="400" t="s">
        <v>909</v>
      </c>
      <c r="B2257" s="400"/>
      <c r="C2257" s="400"/>
      <c r="D2257" s="400"/>
      <c r="E2257" s="400"/>
      <c r="F2257" s="400"/>
      <c r="G2257" s="400"/>
      <c r="H2257" s="400"/>
      <c r="I2257" s="400"/>
      <c r="J2257" s="400"/>
      <c r="K2257" s="400"/>
      <c r="L2257" s="400"/>
      <c r="M2257" s="400"/>
      <c r="N2257" s="400"/>
      <c r="O2257" s="400"/>
      <c r="P2257" s="400"/>
      <c r="Q2257" s="21"/>
      <c r="R2257" s="21"/>
      <c r="S2257" s="8"/>
    </row>
    <row r="2258" spans="1:188" s="57" customFormat="1" ht="15.75" customHeight="1">
      <c r="A2258" s="13">
        <v>23</v>
      </c>
      <c r="B2258" s="92" t="s">
        <v>761</v>
      </c>
      <c r="C2258" s="45"/>
      <c r="D2258" s="44">
        <v>75</v>
      </c>
      <c r="E2258" s="44">
        <v>4</v>
      </c>
      <c r="F2258" s="44">
        <v>16</v>
      </c>
      <c r="G2258" s="44">
        <v>78</v>
      </c>
      <c r="H2258" s="44">
        <v>78</v>
      </c>
      <c r="I2258" s="44">
        <v>78</v>
      </c>
      <c r="J2258" s="44">
        <v>78</v>
      </c>
      <c r="K2258" s="44">
        <v>78</v>
      </c>
      <c r="L2258" s="44">
        <v>1</v>
      </c>
      <c r="M2258" s="44" t="s">
        <v>556</v>
      </c>
      <c r="N2258" s="44" t="s">
        <v>556</v>
      </c>
      <c r="O2258" s="44">
        <v>1</v>
      </c>
      <c r="P2258" s="44">
        <v>1</v>
      </c>
      <c r="Q2258" s="54" t="s">
        <v>649</v>
      </c>
      <c r="R2258" s="54">
        <v>7</v>
      </c>
      <c r="S2258" s="55" t="s">
        <v>590</v>
      </c>
      <c r="T2258" s="56"/>
      <c r="U2258" s="56"/>
      <c r="V2258" s="56"/>
      <c r="W2258" s="56"/>
      <c r="X2258" s="56"/>
      <c r="Y2258" s="56"/>
      <c r="Z2258" s="56"/>
      <c r="AA2258" s="56"/>
      <c r="AB2258" s="56"/>
      <c r="AC2258" s="56"/>
      <c r="AD2258" s="56"/>
      <c r="AE2258" s="56"/>
      <c r="AF2258" s="56"/>
      <c r="AG2258" s="56"/>
      <c r="AH2258" s="56"/>
      <c r="AI2258" s="56"/>
      <c r="AJ2258" s="56"/>
      <c r="AK2258" s="56"/>
      <c r="AL2258" s="56"/>
      <c r="AM2258" s="56"/>
      <c r="AN2258" s="56"/>
      <c r="AO2258" s="56"/>
      <c r="AP2258" s="56"/>
      <c r="AQ2258" s="56"/>
      <c r="AR2258" s="56"/>
      <c r="AS2258" s="56"/>
      <c r="AT2258" s="56"/>
      <c r="AU2258" s="56"/>
      <c r="AV2258" s="56"/>
      <c r="AW2258" s="56"/>
      <c r="AX2258" s="56"/>
      <c r="AY2258" s="56"/>
      <c r="AZ2258" s="56"/>
      <c r="BA2258" s="56"/>
      <c r="BB2258" s="56"/>
      <c r="BC2258" s="56"/>
      <c r="BD2258" s="56"/>
      <c r="BE2258" s="56"/>
      <c r="BF2258" s="56"/>
      <c r="BG2258" s="56"/>
      <c r="BH2258" s="56"/>
      <c r="BI2258" s="56"/>
      <c r="BJ2258" s="56"/>
      <c r="BK2258" s="56"/>
      <c r="BL2258" s="56"/>
      <c r="BM2258" s="56"/>
      <c r="BN2258" s="56"/>
      <c r="BO2258" s="56"/>
      <c r="BP2258" s="56"/>
      <c r="BQ2258" s="56"/>
      <c r="BR2258" s="56"/>
      <c r="BS2258" s="56"/>
      <c r="BT2258" s="56"/>
      <c r="BU2258" s="56"/>
      <c r="BV2258" s="56"/>
      <c r="BW2258" s="56"/>
      <c r="BX2258" s="56"/>
      <c r="BY2258" s="56"/>
      <c r="BZ2258" s="56"/>
      <c r="CA2258" s="56"/>
      <c r="CB2258" s="56"/>
      <c r="CC2258" s="56"/>
      <c r="CD2258" s="56"/>
      <c r="CE2258" s="56"/>
      <c r="CF2258" s="56"/>
      <c r="CG2258" s="56"/>
      <c r="CH2258" s="56"/>
      <c r="CI2258" s="56"/>
      <c r="CJ2258" s="56"/>
      <c r="CK2258" s="56"/>
      <c r="CL2258" s="56"/>
      <c r="CM2258" s="56"/>
      <c r="CN2258" s="56"/>
      <c r="CO2258" s="56"/>
      <c r="CP2258" s="56"/>
      <c r="CQ2258" s="56"/>
      <c r="CR2258" s="56"/>
      <c r="CS2258" s="56"/>
      <c r="CT2258" s="56"/>
      <c r="CU2258" s="56"/>
      <c r="CV2258" s="56"/>
      <c r="CW2258" s="56"/>
      <c r="CX2258" s="56"/>
      <c r="CY2258" s="56"/>
      <c r="CZ2258" s="56"/>
      <c r="DA2258" s="56"/>
      <c r="DB2258" s="56"/>
      <c r="DC2258" s="56"/>
      <c r="DD2258" s="56"/>
      <c r="DE2258" s="56"/>
      <c r="DF2258" s="56"/>
      <c r="DG2258" s="56"/>
      <c r="DH2258" s="56"/>
      <c r="DI2258" s="56"/>
      <c r="DJ2258" s="56"/>
      <c r="DK2258" s="56"/>
      <c r="DL2258" s="56"/>
      <c r="DM2258" s="56"/>
      <c r="DN2258" s="56"/>
      <c r="DO2258" s="56"/>
      <c r="DP2258" s="56"/>
      <c r="DQ2258" s="56"/>
      <c r="DR2258" s="56"/>
      <c r="DS2258" s="56"/>
      <c r="DT2258" s="56"/>
      <c r="DU2258" s="56"/>
      <c r="DV2258" s="56"/>
      <c r="DW2258" s="56"/>
      <c r="DX2258" s="56"/>
      <c r="DY2258" s="56"/>
      <c r="DZ2258" s="56"/>
      <c r="EA2258" s="56"/>
      <c r="EB2258" s="56"/>
      <c r="EC2258" s="56"/>
      <c r="ED2258" s="56"/>
      <c r="EE2258" s="56"/>
      <c r="EF2258" s="56"/>
      <c r="EG2258" s="56"/>
      <c r="EH2258" s="56"/>
      <c r="EI2258" s="56"/>
      <c r="EJ2258" s="56"/>
      <c r="EK2258" s="56"/>
      <c r="EL2258" s="56"/>
      <c r="EM2258" s="56"/>
      <c r="EN2258" s="56"/>
      <c r="EO2258" s="56"/>
      <c r="EP2258" s="56"/>
      <c r="EQ2258" s="56"/>
      <c r="ER2258" s="56"/>
      <c r="ES2258" s="56"/>
      <c r="ET2258" s="56"/>
      <c r="EU2258" s="56"/>
      <c r="EV2258" s="56"/>
      <c r="EW2258" s="56"/>
      <c r="EX2258" s="56"/>
      <c r="EY2258" s="56"/>
      <c r="EZ2258" s="56"/>
      <c r="FA2258" s="56"/>
      <c r="FB2258" s="56"/>
      <c r="FC2258" s="56"/>
      <c r="FD2258" s="56"/>
      <c r="FE2258" s="56"/>
      <c r="FF2258" s="56"/>
      <c r="FG2258" s="56"/>
      <c r="FH2258" s="56"/>
      <c r="FI2258" s="56"/>
      <c r="FJ2258" s="56"/>
      <c r="FK2258" s="56"/>
      <c r="FL2258" s="56"/>
      <c r="FM2258" s="56"/>
      <c r="FN2258" s="56"/>
      <c r="FO2258" s="56"/>
      <c r="FP2258" s="56"/>
      <c r="FQ2258" s="56"/>
      <c r="FR2258" s="56"/>
      <c r="FS2258" s="56"/>
      <c r="FT2258" s="56"/>
      <c r="FU2258" s="56"/>
      <c r="FV2258" s="56"/>
      <c r="FW2258" s="56"/>
      <c r="FX2258" s="56"/>
      <c r="FY2258" s="56"/>
      <c r="FZ2258" s="56"/>
      <c r="GA2258" s="56"/>
      <c r="GB2258" s="56"/>
      <c r="GC2258" s="56"/>
      <c r="GD2258" s="56"/>
      <c r="GE2258" s="56"/>
      <c r="GF2258" s="56"/>
    </row>
    <row r="2259" spans="1:48" s="18" customFormat="1" ht="15.75" customHeight="1">
      <c r="A2259" s="50"/>
      <c r="B2259" s="93" t="s">
        <v>669</v>
      </c>
      <c r="C2259" s="16"/>
      <c r="D2259" s="52"/>
      <c r="E2259" s="52"/>
      <c r="F2259" s="52"/>
      <c r="G2259" s="52"/>
      <c r="H2259" s="52"/>
      <c r="I2259" s="52"/>
      <c r="J2259" s="52"/>
      <c r="K2259" s="52"/>
      <c r="L2259" s="60">
        <f>L2260</f>
        <v>1</v>
      </c>
      <c r="M2259" s="60" t="str">
        <f>M2260</f>
        <v> -</v>
      </c>
      <c r="N2259" s="60"/>
      <c r="O2259" s="60" t="str">
        <f>O2260</f>
        <v> -</v>
      </c>
      <c r="P2259" s="60">
        <f>P2260</f>
        <v>1</v>
      </c>
      <c r="Q2259" s="23"/>
      <c r="R2259" s="23"/>
      <c r="S2259" s="17"/>
      <c r="T2259" s="47"/>
      <c r="U2259" s="47"/>
      <c r="V2259" s="47"/>
      <c r="W2259" s="47"/>
      <c r="X2259" s="47"/>
      <c r="Y2259" s="47"/>
      <c r="Z2259" s="47"/>
      <c r="AA2259" s="47"/>
      <c r="AB2259" s="47"/>
      <c r="AC2259" s="47"/>
      <c r="AD2259" s="47"/>
      <c r="AE2259" s="47"/>
      <c r="AF2259" s="47"/>
      <c r="AG2259" s="47"/>
      <c r="AH2259" s="47"/>
      <c r="AI2259" s="47"/>
      <c r="AJ2259" s="47"/>
      <c r="AK2259" s="47"/>
      <c r="AL2259" s="47"/>
      <c r="AM2259" s="47"/>
      <c r="AN2259" s="47"/>
      <c r="AO2259" s="47"/>
      <c r="AP2259" s="47"/>
      <c r="AQ2259" s="47"/>
      <c r="AR2259" s="47"/>
      <c r="AS2259" s="47"/>
      <c r="AT2259" s="47"/>
      <c r="AU2259" s="47"/>
      <c r="AV2259" s="47"/>
    </row>
    <row r="2260" spans="1:48" s="27" customFormat="1" ht="15.75" customHeight="1">
      <c r="A2260" s="12"/>
      <c r="B2260" s="97" t="s">
        <v>411</v>
      </c>
      <c r="C2260" s="15" t="s">
        <v>412</v>
      </c>
      <c r="D2260" s="40"/>
      <c r="E2260" s="40"/>
      <c r="F2260" s="40"/>
      <c r="G2260" s="40"/>
      <c r="H2260" s="40"/>
      <c r="I2260" s="40"/>
      <c r="J2260" s="40"/>
      <c r="K2260" s="40"/>
      <c r="L2260" s="40">
        <v>1</v>
      </c>
      <c r="M2260" s="40" t="s">
        <v>556</v>
      </c>
      <c r="N2260" s="40" t="s">
        <v>556</v>
      </c>
      <c r="O2260" s="40" t="s">
        <v>556</v>
      </c>
      <c r="P2260" s="40">
        <v>1</v>
      </c>
      <c r="Q2260" s="30"/>
      <c r="R2260" s="30"/>
      <c r="S2260" s="30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</row>
    <row r="2261" spans="1:48" s="18" customFormat="1" ht="15.75" customHeight="1">
      <c r="A2261" s="50"/>
      <c r="B2261" s="93" t="s">
        <v>670</v>
      </c>
      <c r="C2261" s="16"/>
      <c r="D2261" s="52"/>
      <c r="E2261" s="52"/>
      <c r="F2261" s="52"/>
      <c r="G2261" s="52"/>
      <c r="H2261" s="52"/>
      <c r="I2261" s="52"/>
      <c r="J2261" s="52"/>
      <c r="K2261" s="52"/>
      <c r="L2261" s="60" t="str">
        <f>L2262</f>
        <v> -</v>
      </c>
      <c r="M2261" s="60" t="str">
        <f>M2262</f>
        <v> -</v>
      </c>
      <c r="N2261" s="60"/>
      <c r="O2261" s="60">
        <f>O2262</f>
        <v>1</v>
      </c>
      <c r="P2261" s="60" t="str">
        <f>P2262</f>
        <v> -</v>
      </c>
      <c r="Q2261" s="23"/>
      <c r="R2261" s="23"/>
      <c r="S2261" s="17"/>
      <c r="T2261" s="47"/>
      <c r="U2261" s="47"/>
      <c r="V2261" s="47"/>
      <c r="W2261" s="47"/>
      <c r="X2261" s="47"/>
      <c r="Y2261" s="47"/>
      <c r="Z2261" s="47"/>
      <c r="AA2261" s="47"/>
      <c r="AB2261" s="47"/>
      <c r="AC2261" s="47"/>
      <c r="AD2261" s="47"/>
      <c r="AE2261" s="47"/>
      <c r="AF2261" s="47"/>
      <c r="AG2261" s="47"/>
      <c r="AH2261" s="47"/>
      <c r="AI2261" s="47"/>
      <c r="AJ2261" s="47"/>
      <c r="AK2261" s="47"/>
      <c r="AL2261" s="47"/>
      <c r="AM2261" s="47"/>
      <c r="AN2261" s="47"/>
      <c r="AO2261" s="47"/>
      <c r="AP2261" s="47"/>
      <c r="AQ2261" s="47"/>
      <c r="AR2261" s="47"/>
      <c r="AS2261" s="47"/>
      <c r="AT2261" s="47"/>
      <c r="AU2261" s="47"/>
      <c r="AV2261" s="47"/>
    </row>
    <row r="2262" spans="1:187" s="5" customFormat="1" ht="15.75" customHeight="1">
      <c r="A2262" s="12"/>
      <c r="B2262" s="97" t="s">
        <v>566</v>
      </c>
      <c r="C2262" s="15" t="s">
        <v>567</v>
      </c>
      <c r="D2262" s="40"/>
      <c r="E2262" s="40"/>
      <c r="F2262" s="40"/>
      <c r="G2262" s="40"/>
      <c r="H2262" s="40"/>
      <c r="I2262" s="40"/>
      <c r="J2262" s="40"/>
      <c r="K2262" s="40"/>
      <c r="L2262" s="40" t="s">
        <v>556</v>
      </c>
      <c r="M2262" s="40" t="s">
        <v>556</v>
      </c>
      <c r="N2262" s="40" t="s">
        <v>556</v>
      </c>
      <c r="O2262" s="40">
        <v>1</v>
      </c>
      <c r="P2262" s="40" t="s">
        <v>556</v>
      </c>
      <c r="Q2262" s="22"/>
      <c r="R2262" s="22"/>
      <c r="S2262" s="31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  <c r="AO2262" s="4"/>
      <c r="AP2262" s="4"/>
      <c r="AQ2262" s="4"/>
      <c r="AR2262" s="4"/>
      <c r="AS2262" s="4"/>
      <c r="AT2262" s="4"/>
      <c r="AU2262" s="4"/>
      <c r="AV2262" s="4"/>
      <c r="AW2262" s="4"/>
      <c r="AX2262" s="4"/>
      <c r="AY2262" s="4"/>
      <c r="AZ2262" s="4"/>
      <c r="BA2262" s="4"/>
      <c r="BB2262" s="4"/>
      <c r="BC2262" s="4"/>
      <c r="BD2262" s="4"/>
      <c r="BE2262" s="4"/>
      <c r="BF2262" s="4"/>
      <c r="BG2262" s="4"/>
      <c r="BH2262" s="4"/>
      <c r="BI2262" s="4"/>
      <c r="BJ2262" s="4"/>
      <c r="BK2262" s="4"/>
      <c r="BL2262" s="4"/>
      <c r="BM2262" s="4"/>
      <c r="BN2262" s="4"/>
      <c r="BO2262" s="4"/>
      <c r="BP2262" s="4"/>
      <c r="BQ2262" s="4"/>
      <c r="BR2262" s="4"/>
      <c r="BS2262" s="4"/>
      <c r="BT2262" s="4"/>
      <c r="BU2262" s="4"/>
      <c r="BV2262" s="4"/>
      <c r="BW2262" s="4"/>
      <c r="BX2262" s="4"/>
      <c r="BY2262" s="4"/>
      <c r="BZ2262" s="4"/>
      <c r="CA2262" s="4"/>
      <c r="CB2262" s="4"/>
      <c r="CC2262" s="4"/>
      <c r="CD2262" s="4"/>
      <c r="CE2262" s="4"/>
      <c r="CF2262" s="4"/>
      <c r="CG2262" s="4"/>
      <c r="CH2262" s="4"/>
      <c r="CI2262" s="4"/>
      <c r="CJ2262" s="4"/>
      <c r="CK2262" s="4"/>
      <c r="CL2262" s="4"/>
      <c r="CM2262" s="4"/>
      <c r="CN2262" s="4"/>
      <c r="CO2262" s="4"/>
      <c r="CP2262" s="4"/>
      <c r="CQ2262" s="4"/>
      <c r="CR2262" s="4"/>
      <c r="CS2262" s="4"/>
      <c r="CT2262" s="4"/>
      <c r="CU2262" s="4"/>
      <c r="CV2262" s="4"/>
      <c r="CW2262" s="4"/>
      <c r="CX2262" s="4"/>
      <c r="CY2262" s="4"/>
      <c r="CZ2262" s="4"/>
      <c r="DA2262" s="4"/>
      <c r="DB2262" s="4"/>
      <c r="DC2262" s="4"/>
      <c r="DD2262" s="4"/>
      <c r="DE2262" s="4"/>
      <c r="DF2262" s="4"/>
      <c r="DG2262" s="4"/>
      <c r="DH2262" s="4"/>
      <c r="DI2262" s="4"/>
      <c r="DJ2262" s="4"/>
      <c r="DK2262" s="4"/>
      <c r="DL2262" s="4"/>
      <c r="DM2262" s="4"/>
      <c r="DN2262" s="4"/>
      <c r="DO2262" s="4"/>
      <c r="DP2262" s="4"/>
      <c r="DQ2262" s="4"/>
      <c r="DR2262" s="4"/>
      <c r="DS2262" s="4"/>
      <c r="DT2262" s="4"/>
      <c r="DU2262" s="4"/>
      <c r="DV2262" s="4"/>
      <c r="DW2262" s="4"/>
      <c r="DX2262" s="4"/>
      <c r="DY2262" s="4"/>
      <c r="DZ2262" s="4"/>
      <c r="EA2262" s="4"/>
      <c r="EB2262" s="4"/>
      <c r="EC2262" s="4"/>
      <c r="ED2262" s="4"/>
      <c r="EE2262" s="4"/>
      <c r="EF2262" s="4"/>
      <c r="EG2262" s="4"/>
      <c r="EH2262" s="4"/>
      <c r="EI2262" s="4"/>
      <c r="EJ2262" s="4"/>
      <c r="EK2262" s="4"/>
      <c r="EL2262" s="4"/>
      <c r="EM2262" s="4"/>
      <c r="EN2262" s="4"/>
      <c r="EO2262" s="4"/>
      <c r="EP2262" s="4"/>
      <c r="EQ2262" s="4"/>
      <c r="ER2262" s="4"/>
      <c r="ES2262" s="4"/>
      <c r="ET2262" s="4"/>
      <c r="EU2262" s="4"/>
      <c r="EV2262" s="4"/>
      <c r="EW2262" s="4"/>
      <c r="EX2262" s="4"/>
      <c r="EY2262" s="4"/>
      <c r="EZ2262" s="4"/>
      <c r="FA2262" s="4"/>
      <c r="FB2262" s="4"/>
      <c r="FC2262" s="4"/>
      <c r="FD2262" s="4"/>
      <c r="FE2262" s="4"/>
      <c r="FF2262" s="4"/>
      <c r="FG2262" s="4"/>
      <c r="FH2262" s="4"/>
      <c r="FI2262" s="4"/>
      <c r="FJ2262" s="4"/>
      <c r="FK2262" s="4"/>
      <c r="FL2262" s="4"/>
      <c r="FM2262" s="4"/>
      <c r="FN2262" s="4"/>
      <c r="FO2262" s="4"/>
      <c r="FP2262" s="4"/>
      <c r="FQ2262" s="4"/>
      <c r="FR2262" s="4"/>
      <c r="FS2262" s="4"/>
      <c r="FT2262" s="4"/>
      <c r="FU2262" s="4"/>
      <c r="FV2262" s="4"/>
      <c r="FW2262" s="4"/>
      <c r="FX2262" s="4"/>
      <c r="FY2262" s="4"/>
      <c r="FZ2262" s="4"/>
      <c r="GA2262" s="4"/>
      <c r="GB2262" s="4"/>
      <c r="GC2262" s="4"/>
      <c r="GD2262" s="4"/>
      <c r="GE2262" s="4"/>
    </row>
    <row r="2263" spans="1:188" s="57" customFormat="1" ht="15.75" customHeight="1">
      <c r="A2263" s="13">
        <v>24</v>
      </c>
      <c r="B2263" s="92" t="s">
        <v>763</v>
      </c>
      <c r="C2263" s="45"/>
      <c r="D2263" s="44">
        <v>57</v>
      </c>
      <c r="E2263" s="44">
        <v>3</v>
      </c>
      <c r="F2263" s="44">
        <v>16</v>
      </c>
      <c r="G2263" s="44">
        <v>57</v>
      </c>
      <c r="H2263" s="44">
        <v>57</v>
      </c>
      <c r="I2263" s="44">
        <v>57</v>
      </c>
      <c r="J2263" s="44">
        <v>57</v>
      </c>
      <c r="K2263" s="44">
        <v>57</v>
      </c>
      <c r="L2263" s="44" t="s">
        <v>556</v>
      </c>
      <c r="M2263" s="44" t="s">
        <v>556</v>
      </c>
      <c r="N2263" s="44">
        <v>1</v>
      </c>
      <c r="O2263" s="44">
        <v>1</v>
      </c>
      <c r="P2263" s="44">
        <v>1</v>
      </c>
      <c r="Q2263" s="54" t="s">
        <v>649</v>
      </c>
      <c r="R2263" s="54">
        <v>7</v>
      </c>
      <c r="S2263" s="55" t="s">
        <v>590</v>
      </c>
      <c r="T2263" s="56"/>
      <c r="U2263" s="56"/>
      <c r="V2263" s="56"/>
      <c r="W2263" s="56"/>
      <c r="X2263" s="56"/>
      <c r="Y2263" s="56"/>
      <c r="Z2263" s="56"/>
      <c r="AA2263" s="56"/>
      <c r="AB2263" s="56"/>
      <c r="AC2263" s="56"/>
      <c r="AD2263" s="56"/>
      <c r="AE2263" s="56"/>
      <c r="AF2263" s="56"/>
      <c r="AG2263" s="56"/>
      <c r="AH2263" s="56"/>
      <c r="AI2263" s="56"/>
      <c r="AJ2263" s="56"/>
      <c r="AK2263" s="56"/>
      <c r="AL2263" s="56"/>
      <c r="AM2263" s="56"/>
      <c r="AN2263" s="56"/>
      <c r="AO2263" s="56"/>
      <c r="AP2263" s="56"/>
      <c r="AQ2263" s="56"/>
      <c r="AR2263" s="56"/>
      <c r="AS2263" s="56"/>
      <c r="AT2263" s="56"/>
      <c r="AU2263" s="56"/>
      <c r="AV2263" s="56"/>
      <c r="AW2263" s="56"/>
      <c r="AX2263" s="56"/>
      <c r="AY2263" s="56"/>
      <c r="AZ2263" s="56"/>
      <c r="BA2263" s="56"/>
      <c r="BB2263" s="56"/>
      <c r="BC2263" s="56"/>
      <c r="BD2263" s="56"/>
      <c r="BE2263" s="56"/>
      <c r="BF2263" s="56"/>
      <c r="BG2263" s="56"/>
      <c r="BH2263" s="56"/>
      <c r="BI2263" s="56"/>
      <c r="BJ2263" s="56"/>
      <c r="BK2263" s="56"/>
      <c r="BL2263" s="56"/>
      <c r="BM2263" s="56"/>
      <c r="BN2263" s="56"/>
      <c r="BO2263" s="56"/>
      <c r="BP2263" s="56"/>
      <c r="BQ2263" s="56"/>
      <c r="BR2263" s="56"/>
      <c r="BS2263" s="56"/>
      <c r="BT2263" s="56"/>
      <c r="BU2263" s="56"/>
      <c r="BV2263" s="56"/>
      <c r="BW2263" s="56"/>
      <c r="BX2263" s="56"/>
      <c r="BY2263" s="56"/>
      <c r="BZ2263" s="56"/>
      <c r="CA2263" s="56"/>
      <c r="CB2263" s="56"/>
      <c r="CC2263" s="56"/>
      <c r="CD2263" s="56"/>
      <c r="CE2263" s="56"/>
      <c r="CF2263" s="56"/>
      <c r="CG2263" s="56"/>
      <c r="CH2263" s="56"/>
      <c r="CI2263" s="56"/>
      <c r="CJ2263" s="56"/>
      <c r="CK2263" s="56"/>
      <c r="CL2263" s="56"/>
      <c r="CM2263" s="56"/>
      <c r="CN2263" s="56"/>
      <c r="CO2263" s="56"/>
      <c r="CP2263" s="56"/>
      <c r="CQ2263" s="56"/>
      <c r="CR2263" s="56"/>
      <c r="CS2263" s="56"/>
      <c r="CT2263" s="56"/>
      <c r="CU2263" s="56"/>
      <c r="CV2263" s="56"/>
      <c r="CW2263" s="56"/>
      <c r="CX2263" s="56"/>
      <c r="CY2263" s="56"/>
      <c r="CZ2263" s="56"/>
      <c r="DA2263" s="56"/>
      <c r="DB2263" s="56"/>
      <c r="DC2263" s="56"/>
      <c r="DD2263" s="56"/>
      <c r="DE2263" s="56"/>
      <c r="DF2263" s="56"/>
      <c r="DG2263" s="56"/>
      <c r="DH2263" s="56"/>
      <c r="DI2263" s="56"/>
      <c r="DJ2263" s="56"/>
      <c r="DK2263" s="56"/>
      <c r="DL2263" s="56"/>
      <c r="DM2263" s="56"/>
      <c r="DN2263" s="56"/>
      <c r="DO2263" s="56"/>
      <c r="DP2263" s="56"/>
      <c r="DQ2263" s="56"/>
      <c r="DR2263" s="56"/>
      <c r="DS2263" s="56"/>
      <c r="DT2263" s="56"/>
      <c r="DU2263" s="56"/>
      <c r="DV2263" s="56"/>
      <c r="DW2263" s="56"/>
      <c r="DX2263" s="56"/>
      <c r="DY2263" s="56"/>
      <c r="DZ2263" s="56"/>
      <c r="EA2263" s="56"/>
      <c r="EB2263" s="56"/>
      <c r="EC2263" s="56"/>
      <c r="ED2263" s="56"/>
      <c r="EE2263" s="56"/>
      <c r="EF2263" s="56"/>
      <c r="EG2263" s="56"/>
      <c r="EH2263" s="56"/>
      <c r="EI2263" s="56"/>
      <c r="EJ2263" s="56"/>
      <c r="EK2263" s="56"/>
      <c r="EL2263" s="56"/>
      <c r="EM2263" s="56"/>
      <c r="EN2263" s="56"/>
      <c r="EO2263" s="56"/>
      <c r="EP2263" s="56"/>
      <c r="EQ2263" s="56"/>
      <c r="ER2263" s="56"/>
      <c r="ES2263" s="56"/>
      <c r="ET2263" s="56"/>
      <c r="EU2263" s="56"/>
      <c r="EV2263" s="56"/>
      <c r="EW2263" s="56"/>
      <c r="EX2263" s="56"/>
      <c r="EY2263" s="56"/>
      <c r="EZ2263" s="56"/>
      <c r="FA2263" s="56"/>
      <c r="FB2263" s="56"/>
      <c r="FC2263" s="56"/>
      <c r="FD2263" s="56"/>
      <c r="FE2263" s="56"/>
      <c r="FF2263" s="56"/>
      <c r="FG2263" s="56"/>
      <c r="FH2263" s="56"/>
      <c r="FI2263" s="56"/>
      <c r="FJ2263" s="56"/>
      <c r="FK2263" s="56"/>
      <c r="FL2263" s="56"/>
      <c r="FM2263" s="56"/>
      <c r="FN2263" s="56"/>
      <c r="FO2263" s="56"/>
      <c r="FP2263" s="56"/>
      <c r="FQ2263" s="56"/>
      <c r="FR2263" s="56"/>
      <c r="FS2263" s="56"/>
      <c r="FT2263" s="56"/>
      <c r="FU2263" s="56"/>
      <c r="FV2263" s="56"/>
      <c r="FW2263" s="56"/>
      <c r="FX2263" s="56"/>
      <c r="FY2263" s="56"/>
      <c r="FZ2263" s="56"/>
      <c r="GA2263" s="56"/>
      <c r="GB2263" s="56"/>
      <c r="GC2263" s="56"/>
      <c r="GD2263" s="56"/>
      <c r="GE2263" s="56"/>
      <c r="GF2263" s="56"/>
    </row>
    <row r="2264" spans="1:48" s="18" customFormat="1" ht="15.75" customHeight="1">
      <c r="A2264" s="50"/>
      <c r="B2264" s="93" t="s">
        <v>37</v>
      </c>
      <c r="C2264" s="16"/>
      <c r="D2264" s="52"/>
      <c r="E2264" s="52"/>
      <c r="F2264" s="52"/>
      <c r="G2264" s="52"/>
      <c r="H2264" s="52"/>
      <c r="I2264" s="52"/>
      <c r="J2264" s="52"/>
      <c r="K2264" s="52"/>
      <c r="L2264" s="60" t="str">
        <f>L2265</f>
        <v> -</v>
      </c>
      <c r="M2264" s="60" t="str">
        <f>M2265</f>
        <v> -</v>
      </c>
      <c r="N2264" s="60">
        <v>1</v>
      </c>
      <c r="O2264" s="60">
        <v>1</v>
      </c>
      <c r="P2264" s="60">
        <v>1</v>
      </c>
      <c r="Q2264" s="23"/>
      <c r="R2264" s="23"/>
      <c r="S2264" s="17"/>
      <c r="T2264" s="47"/>
      <c r="U2264" s="47"/>
      <c r="V2264" s="47"/>
      <c r="W2264" s="47"/>
      <c r="X2264" s="47"/>
      <c r="Y2264" s="47"/>
      <c r="Z2264" s="47"/>
      <c r="AA2264" s="47"/>
      <c r="AB2264" s="47"/>
      <c r="AC2264" s="47"/>
      <c r="AD2264" s="47"/>
      <c r="AE2264" s="47"/>
      <c r="AF2264" s="47"/>
      <c r="AG2264" s="47"/>
      <c r="AH2264" s="47"/>
      <c r="AI2264" s="47"/>
      <c r="AJ2264" s="47"/>
      <c r="AK2264" s="47"/>
      <c r="AL2264" s="47"/>
      <c r="AM2264" s="47"/>
      <c r="AN2264" s="47"/>
      <c r="AO2264" s="47"/>
      <c r="AP2264" s="47"/>
      <c r="AQ2264" s="47"/>
      <c r="AR2264" s="47"/>
      <c r="AS2264" s="47"/>
      <c r="AT2264" s="47"/>
      <c r="AU2264" s="47"/>
      <c r="AV2264" s="47"/>
    </row>
    <row r="2265" spans="1:187" s="5" customFormat="1" ht="15.75" customHeight="1">
      <c r="A2265" s="12"/>
      <c r="B2265" s="97" t="s">
        <v>764</v>
      </c>
      <c r="C2265" s="15" t="s">
        <v>766</v>
      </c>
      <c r="D2265" s="40"/>
      <c r="E2265" s="40"/>
      <c r="F2265" s="40"/>
      <c r="G2265" s="40">
        <v>2</v>
      </c>
      <c r="H2265" s="40">
        <v>2</v>
      </c>
      <c r="I2265" s="40">
        <v>2</v>
      </c>
      <c r="J2265" s="40">
        <v>2</v>
      </c>
      <c r="K2265" s="40">
        <v>2</v>
      </c>
      <c r="L2265" s="40" t="s">
        <v>556</v>
      </c>
      <c r="M2265" s="40" t="s">
        <v>556</v>
      </c>
      <c r="N2265" s="40" t="s">
        <v>556</v>
      </c>
      <c r="O2265" s="40" t="s">
        <v>556</v>
      </c>
      <c r="P2265" s="40">
        <v>1</v>
      </c>
      <c r="Q2265" s="22"/>
      <c r="R2265" s="22"/>
      <c r="S2265" s="31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  <c r="AO2265" s="4"/>
      <c r="AP2265" s="4"/>
      <c r="AQ2265" s="4"/>
      <c r="AR2265" s="4"/>
      <c r="AS2265" s="4"/>
      <c r="AT2265" s="4"/>
      <c r="AU2265" s="4"/>
      <c r="AV2265" s="4"/>
      <c r="AW2265" s="4"/>
      <c r="AX2265" s="4"/>
      <c r="AY2265" s="4"/>
      <c r="AZ2265" s="4"/>
      <c r="BA2265" s="4"/>
      <c r="BB2265" s="4"/>
      <c r="BC2265" s="4"/>
      <c r="BD2265" s="4"/>
      <c r="BE2265" s="4"/>
      <c r="BF2265" s="4"/>
      <c r="BG2265" s="4"/>
      <c r="BH2265" s="4"/>
      <c r="BI2265" s="4"/>
      <c r="BJ2265" s="4"/>
      <c r="BK2265" s="4"/>
      <c r="BL2265" s="4"/>
      <c r="BM2265" s="4"/>
      <c r="BN2265" s="4"/>
      <c r="BO2265" s="4"/>
      <c r="BP2265" s="4"/>
      <c r="BQ2265" s="4"/>
      <c r="BR2265" s="4"/>
      <c r="BS2265" s="4"/>
      <c r="BT2265" s="4"/>
      <c r="BU2265" s="4"/>
      <c r="BV2265" s="4"/>
      <c r="BW2265" s="4"/>
      <c r="BX2265" s="4"/>
      <c r="BY2265" s="4"/>
      <c r="BZ2265" s="4"/>
      <c r="CA2265" s="4"/>
      <c r="CB2265" s="4"/>
      <c r="CC2265" s="4"/>
      <c r="CD2265" s="4"/>
      <c r="CE2265" s="4"/>
      <c r="CF2265" s="4"/>
      <c r="CG2265" s="4"/>
      <c r="CH2265" s="4"/>
      <c r="CI2265" s="4"/>
      <c r="CJ2265" s="4"/>
      <c r="CK2265" s="4"/>
      <c r="CL2265" s="4"/>
      <c r="CM2265" s="4"/>
      <c r="CN2265" s="4"/>
      <c r="CO2265" s="4"/>
      <c r="CP2265" s="4"/>
      <c r="CQ2265" s="4"/>
      <c r="CR2265" s="4"/>
      <c r="CS2265" s="4"/>
      <c r="CT2265" s="4"/>
      <c r="CU2265" s="4"/>
      <c r="CV2265" s="4"/>
      <c r="CW2265" s="4"/>
      <c r="CX2265" s="4"/>
      <c r="CY2265" s="4"/>
      <c r="CZ2265" s="4"/>
      <c r="DA2265" s="4"/>
      <c r="DB2265" s="4"/>
      <c r="DC2265" s="4"/>
      <c r="DD2265" s="4"/>
      <c r="DE2265" s="4"/>
      <c r="DF2265" s="4"/>
      <c r="DG2265" s="4"/>
      <c r="DH2265" s="4"/>
      <c r="DI2265" s="4"/>
      <c r="DJ2265" s="4"/>
      <c r="DK2265" s="4"/>
      <c r="DL2265" s="4"/>
      <c r="DM2265" s="4"/>
      <c r="DN2265" s="4"/>
      <c r="DO2265" s="4"/>
      <c r="DP2265" s="4"/>
      <c r="DQ2265" s="4"/>
      <c r="DR2265" s="4"/>
      <c r="DS2265" s="4"/>
      <c r="DT2265" s="4"/>
      <c r="DU2265" s="4"/>
      <c r="DV2265" s="4"/>
      <c r="DW2265" s="4"/>
      <c r="DX2265" s="4"/>
      <c r="DY2265" s="4"/>
      <c r="DZ2265" s="4"/>
      <c r="EA2265" s="4"/>
      <c r="EB2265" s="4"/>
      <c r="EC2265" s="4"/>
      <c r="ED2265" s="4"/>
      <c r="EE2265" s="4"/>
      <c r="EF2265" s="4"/>
      <c r="EG2265" s="4"/>
      <c r="EH2265" s="4"/>
      <c r="EI2265" s="4"/>
      <c r="EJ2265" s="4"/>
      <c r="EK2265" s="4"/>
      <c r="EL2265" s="4"/>
      <c r="EM2265" s="4"/>
      <c r="EN2265" s="4"/>
      <c r="EO2265" s="4"/>
      <c r="EP2265" s="4"/>
      <c r="EQ2265" s="4"/>
      <c r="ER2265" s="4"/>
      <c r="ES2265" s="4"/>
      <c r="ET2265" s="4"/>
      <c r="EU2265" s="4"/>
      <c r="EV2265" s="4"/>
      <c r="EW2265" s="4"/>
      <c r="EX2265" s="4"/>
      <c r="EY2265" s="4"/>
      <c r="EZ2265" s="4"/>
      <c r="FA2265" s="4"/>
      <c r="FB2265" s="4"/>
      <c r="FC2265" s="4"/>
      <c r="FD2265" s="4"/>
      <c r="FE2265" s="4"/>
      <c r="FF2265" s="4"/>
      <c r="FG2265" s="4"/>
      <c r="FH2265" s="4"/>
      <c r="FI2265" s="4"/>
      <c r="FJ2265" s="4"/>
      <c r="FK2265" s="4"/>
      <c r="FL2265" s="4"/>
      <c r="FM2265" s="4"/>
      <c r="FN2265" s="4"/>
      <c r="FO2265" s="4"/>
      <c r="FP2265" s="4"/>
      <c r="FQ2265" s="4"/>
      <c r="FR2265" s="4"/>
      <c r="FS2265" s="4"/>
      <c r="FT2265" s="4"/>
      <c r="FU2265" s="4"/>
      <c r="FV2265" s="4"/>
      <c r="FW2265" s="4"/>
      <c r="FX2265" s="4"/>
      <c r="FY2265" s="4"/>
      <c r="FZ2265" s="4"/>
      <c r="GA2265" s="4"/>
      <c r="GB2265" s="4"/>
      <c r="GC2265" s="4"/>
      <c r="GD2265" s="4"/>
      <c r="GE2265" s="4"/>
    </row>
    <row r="2266" spans="1:187" s="5" customFormat="1" ht="15.75" customHeight="1">
      <c r="A2266" s="12"/>
      <c r="B2266" s="97" t="s">
        <v>765</v>
      </c>
      <c r="C2266" s="15" t="s">
        <v>767</v>
      </c>
      <c r="D2266" s="40"/>
      <c r="E2266" s="40"/>
      <c r="F2266" s="40"/>
      <c r="G2266" s="40">
        <v>5</v>
      </c>
      <c r="H2266" s="40">
        <v>5</v>
      </c>
      <c r="I2266" s="40">
        <v>5</v>
      </c>
      <c r="J2266" s="40">
        <v>5</v>
      </c>
      <c r="K2266" s="40">
        <v>5</v>
      </c>
      <c r="L2266" s="40" t="s">
        <v>556</v>
      </c>
      <c r="M2266" s="40" t="s">
        <v>556</v>
      </c>
      <c r="N2266" s="40">
        <v>1</v>
      </c>
      <c r="O2266" s="40">
        <v>1</v>
      </c>
      <c r="P2266" s="40" t="s">
        <v>556</v>
      </c>
      <c r="Q2266" s="22"/>
      <c r="R2266" s="22"/>
      <c r="S2266" s="31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  <c r="AO2266" s="4"/>
      <c r="AP2266" s="4"/>
      <c r="AQ2266" s="4"/>
      <c r="AR2266" s="4"/>
      <c r="AS2266" s="4"/>
      <c r="AT2266" s="4"/>
      <c r="AU2266" s="4"/>
      <c r="AV2266" s="4"/>
      <c r="AW2266" s="4"/>
      <c r="AX2266" s="4"/>
      <c r="AY2266" s="4"/>
      <c r="AZ2266" s="4"/>
      <c r="BA2266" s="4"/>
      <c r="BB2266" s="4"/>
      <c r="BC2266" s="4"/>
      <c r="BD2266" s="4"/>
      <c r="BE2266" s="4"/>
      <c r="BF2266" s="4"/>
      <c r="BG2266" s="4"/>
      <c r="BH2266" s="4"/>
      <c r="BI2266" s="4"/>
      <c r="BJ2266" s="4"/>
      <c r="BK2266" s="4"/>
      <c r="BL2266" s="4"/>
      <c r="BM2266" s="4"/>
      <c r="BN2266" s="4"/>
      <c r="BO2266" s="4"/>
      <c r="BP2266" s="4"/>
      <c r="BQ2266" s="4"/>
      <c r="BR2266" s="4"/>
      <c r="BS2266" s="4"/>
      <c r="BT2266" s="4"/>
      <c r="BU2266" s="4"/>
      <c r="BV2266" s="4"/>
      <c r="BW2266" s="4"/>
      <c r="BX2266" s="4"/>
      <c r="BY2266" s="4"/>
      <c r="BZ2266" s="4"/>
      <c r="CA2266" s="4"/>
      <c r="CB2266" s="4"/>
      <c r="CC2266" s="4"/>
      <c r="CD2266" s="4"/>
      <c r="CE2266" s="4"/>
      <c r="CF2266" s="4"/>
      <c r="CG2266" s="4"/>
      <c r="CH2266" s="4"/>
      <c r="CI2266" s="4"/>
      <c r="CJ2266" s="4"/>
      <c r="CK2266" s="4"/>
      <c r="CL2266" s="4"/>
      <c r="CM2266" s="4"/>
      <c r="CN2266" s="4"/>
      <c r="CO2266" s="4"/>
      <c r="CP2266" s="4"/>
      <c r="CQ2266" s="4"/>
      <c r="CR2266" s="4"/>
      <c r="CS2266" s="4"/>
      <c r="CT2266" s="4"/>
      <c r="CU2266" s="4"/>
      <c r="CV2266" s="4"/>
      <c r="CW2266" s="4"/>
      <c r="CX2266" s="4"/>
      <c r="CY2266" s="4"/>
      <c r="CZ2266" s="4"/>
      <c r="DA2266" s="4"/>
      <c r="DB2266" s="4"/>
      <c r="DC2266" s="4"/>
      <c r="DD2266" s="4"/>
      <c r="DE2266" s="4"/>
      <c r="DF2266" s="4"/>
      <c r="DG2266" s="4"/>
      <c r="DH2266" s="4"/>
      <c r="DI2266" s="4"/>
      <c r="DJ2266" s="4"/>
      <c r="DK2266" s="4"/>
      <c r="DL2266" s="4"/>
      <c r="DM2266" s="4"/>
      <c r="DN2266" s="4"/>
      <c r="DO2266" s="4"/>
      <c r="DP2266" s="4"/>
      <c r="DQ2266" s="4"/>
      <c r="DR2266" s="4"/>
      <c r="DS2266" s="4"/>
      <c r="DT2266" s="4"/>
      <c r="DU2266" s="4"/>
      <c r="DV2266" s="4"/>
      <c r="DW2266" s="4"/>
      <c r="DX2266" s="4"/>
      <c r="DY2266" s="4"/>
      <c r="DZ2266" s="4"/>
      <c r="EA2266" s="4"/>
      <c r="EB2266" s="4"/>
      <c r="EC2266" s="4"/>
      <c r="ED2266" s="4"/>
      <c r="EE2266" s="4"/>
      <c r="EF2266" s="4"/>
      <c r="EG2266" s="4"/>
      <c r="EH2266" s="4"/>
      <c r="EI2266" s="4"/>
      <c r="EJ2266" s="4"/>
      <c r="EK2266" s="4"/>
      <c r="EL2266" s="4"/>
      <c r="EM2266" s="4"/>
      <c r="EN2266" s="4"/>
      <c r="EO2266" s="4"/>
      <c r="EP2266" s="4"/>
      <c r="EQ2266" s="4"/>
      <c r="ER2266" s="4"/>
      <c r="ES2266" s="4"/>
      <c r="ET2266" s="4"/>
      <c r="EU2266" s="4"/>
      <c r="EV2266" s="4"/>
      <c r="EW2266" s="4"/>
      <c r="EX2266" s="4"/>
      <c r="EY2266" s="4"/>
      <c r="EZ2266" s="4"/>
      <c r="FA2266" s="4"/>
      <c r="FB2266" s="4"/>
      <c r="FC2266" s="4"/>
      <c r="FD2266" s="4"/>
      <c r="FE2266" s="4"/>
      <c r="FF2266" s="4"/>
      <c r="FG2266" s="4"/>
      <c r="FH2266" s="4"/>
      <c r="FI2266" s="4"/>
      <c r="FJ2266" s="4"/>
      <c r="FK2266" s="4"/>
      <c r="FL2266" s="4"/>
      <c r="FM2266" s="4"/>
      <c r="FN2266" s="4"/>
      <c r="FO2266" s="4"/>
      <c r="FP2266" s="4"/>
      <c r="FQ2266" s="4"/>
      <c r="FR2266" s="4"/>
      <c r="FS2266" s="4"/>
      <c r="FT2266" s="4"/>
      <c r="FU2266" s="4"/>
      <c r="FV2266" s="4"/>
      <c r="FW2266" s="4"/>
      <c r="FX2266" s="4"/>
      <c r="FY2266" s="4"/>
      <c r="FZ2266" s="4"/>
      <c r="GA2266" s="4"/>
      <c r="GB2266" s="4"/>
      <c r="GC2266" s="4"/>
      <c r="GD2266" s="4"/>
      <c r="GE2266" s="4"/>
    </row>
    <row r="2267" spans="1:19" ht="15" customHeight="1">
      <c r="A2267" s="399" t="s">
        <v>413</v>
      </c>
      <c r="B2267" s="399"/>
      <c r="C2267" s="399"/>
      <c r="D2267" s="399"/>
      <c r="E2267" s="399"/>
      <c r="F2267" s="399"/>
      <c r="G2267" s="399"/>
      <c r="H2267" s="399"/>
      <c r="I2267" s="399"/>
      <c r="J2267" s="399"/>
      <c r="K2267" s="399"/>
      <c r="L2267" s="399"/>
      <c r="M2267" s="399"/>
      <c r="N2267" s="399"/>
      <c r="O2267" s="399"/>
      <c r="P2267" s="399"/>
      <c r="Q2267" s="20"/>
      <c r="R2267" s="20"/>
      <c r="S2267" s="7"/>
    </row>
    <row r="2268" spans="1:19" ht="13.5" customHeight="1">
      <c r="A2268" s="400" t="s">
        <v>909</v>
      </c>
      <c r="B2268" s="400"/>
      <c r="C2268" s="400"/>
      <c r="D2268" s="400"/>
      <c r="E2268" s="400"/>
      <c r="F2268" s="400"/>
      <c r="G2268" s="400"/>
      <c r="H2268" s="400"/>
      <c r="I2268" s="400"/>
      <c r="J2268" s="400"/>
      <c r="K2268" s="400"/>
      <c r="L2268" s="400"/>
      <c r="M2268" s="400"/>
      <c r="N2268" s="400"/>
      <c r="O2268" s="400"/>
      <c r="P2268" s="400"/>
      <c r="Q2268" s="21"/>
      <c r="R2268" s="21"/>
      <c r="S2268" s="8"/>
    </row>
    <row r="2269" spans="1:188" s="57" customFormat="1" ht="19.5" customHeight="1">
      <c r="A2269" s="13">
        <v>25</v>
      </c>
      <c r="B2269" s="92" t="s">
        <v>954</v>
      </c>
      <c r="C2269" s="45"/>
      <c r="D2269" s="44">
        <v>36</v>
      </c>
      <c r="E2269" s="44">
        <v>1</v>
      </c>
      <c r="F2269" s="44"/>
      <c r="G2269" s="44"/>
      <c r="H2269" s="44"/>
      <c r="I2269" s="44"/>
      <c r="J2269" s="44"/>
      <c r="K2269" s="44"/>
      <c r="L2269" s="44">
        <f>L2270</f>
        <v>4</v>
      </c>
      <c r="M2269" s="44">
        <f>M2270</f>
        <v>1</v>
      </c>
      <c r="N2269" s="44">
        <f>N2270</f>
        <v>1</v>
      </c>
      <c r="O2269" s="44">
        <f>O2270</f>
        <v>1</v>
      </c>
      <c r="P2269" s="44">
        <f>P2270</f>
        <v>4</v>
      </c>
      <c r="Q2269" s="54" t="s">
        <v>649</v>
      </c>
      <c r="R2269" s="54">
        <v>7</v>
      </c>
      <c r="S2269" s="55" t="s">
        <v>590</v>
      </c>
      <c r="T2269" s="56"/>
      <c r="U2269" s="56"/>
      <c r="V2269" s="56"/>
      <c r="W2269" s="56"/>
      <c r="X2269" s="56"/>
      <c r="Y2269" s="56"/>
      <c r="Z2269" s="56"/>
      <c r="AA2269" s="56"/>
      <c r="AB2269" s="56"/>
      <c r="AC2269" s="56"/>
      <c r="AD2269" s="56"/>
      <c r="AE2269" s="56"/>
      <c r="AF2269" s="56"/>
      <c r="AG2269" s="56"/>
      <c r="AH2269" s="56"/>
      <c r="AI2269" s="56"/>
      <c r="AJ2269" s="56"/>
      <c r="AK2269" s="56"/>
      <c r="AL2269" s="56"/>
      <c r="AM2269" s="56"/>
      <c r="AN2269" s="56"/>
      <c r="AO2269" s="56"/>
      <c r="AP2269" s="56"/>
      <c r="AQ2269" s="56"/>
      <c r="AR2269" s="56"/>
      <c r="AS2269" s="56"/>
      <c r="AT2269" s="56"/>
      <c r="AU2269" s="56"/>
      <c r="AV2269" s="56"/>
      <c r="AW2269" s="56"/>
      <c r="AX2269" s="56"/>
      <c r="AY2269" s="56"/>
      <c r="AZ2269" s="56"/>
      <c r="BA2269" s="56"/>
      <c r="BB2269" s="56"/>
      <c r="BC2269" s="56"/>
      <c r="BD2269" s="56"/>
      <c r="BE2269" s="56"/>
      <c r="BF2269" s="56"/>
      <c r="BG2269" s="56"/>
      <c r="BH2269" s="56"/>
      <c r="BI2269" s="56"/>
      <c r="BJ2269" s="56"/>
      <c r="BK2269" s="56"/>
      <c r="BL2269" s="56"/>
      <c r="BM2269" s="56"/>
      <c r="BN2269" s="56"/>
      <c r="BO2269" s="56"/>
      <c r="BP2269" s="56"/>
      <c r="BQ2269" s="56"/>
      <c r="BR2269" s="56"/>
      <c r="BS2269" s="56"/>
      <c r="BT2269" s="56"/>
      <c r="BU2269" s="56"/>
      <c r="BV2269" s="56"/>
      <c r="BW2269" s="56"/>
      <c r="BX2269" s="56"/>
      <c r="BY2269" s="56"/>
      <c r="BZ2269" s="56"/>
      <c r="CA2269" s="56"/>
      <c r="CB2269" s="56"/>
      <c r="CC2269" s="56"/>
      <c r="CD2269" s="56"/>
      <c r="CE2269" s="56"/>
      <c r="CF2269" s="56"/>
      <c r="CG2269" s="56"/>
      <c r="CH2269" s="56"/>
      <c r="CI2269" s="56"/>
      <c r="CJ2269" s="56"/>
      <c r="CK2269" s="56"/>
      <c r="CL2269" s="56"/>
      <c r="CM2269" s="56"/>
      <c r="CN2269" s="56"/>
      <c r="CO2269" s="56"/>
      <c r="CP2269" s="56"/>
      <c r="CQ2269" s="56"/>
      <c r="CR2269" s="56"/>
      <c r="CS2269" s="56"/>
      <c r="CT2269" s="56"/>
      <c r="CU2269" s="56"/>
      <c r="CV2269" s="56"/>
      <c r="CW2269" s="56"/>
      <c r="CX2269" s="56"/>
      <c r="CY2269" s="56"/>
      <c r="CZ2269" s="56"/>
      <c r="DA2269" s="56"/>
      <c r="DB2269" s="56"/>
      <c r="DC2269" s="56"/>
      <c r="DD2269" s="56"/>
      <c r="DE2269" s="56"/>
      <c r="DF2269" s="56"/>
      <c r="DG2269" s="56"/>
      <c r="DH2269" s="56"/>
      <c r="DI2269" s="56"/>
      <c r="DJ2269" s="56"/>
      <c r="DK2269" s="56"/>
      <c r="DL2269" s="56"/>
      <c r="DM2269" s="56"/>
      <c r="DN2269" s="56"/>
      <c r="DO2269" s="56"/>
      <c r="DP2269" s="56"/>
      <c r="DQ2269" s="56"/>
      <c r="DR2269" s="56"/>
      <c r="DS2269" s="56"/>
      <c r="DT2269" s="56"/>
      <c r="DU2269" s="56"/>
      <c r="DV2269" s="56"/>
      <c r="DW2269" s="56"/>
      <c r="DX2269" s="56"/>
      <c r="DY2269" s="56"/>
      <c r="DZ2269" s="56"/>
      <c r="EA2269" s="56"/>
      <c r="EB2269" s="56"/>
      <c r="EC2269" s="56"/>
      <c r="ED2269" s="56"/>
      <c r="EE2269" s="56"/>
      <c r="EF2269" s="56"/>
      <c r="EG2269" s="56"/>
      <c r="EH2269" s="56"/>
      <c r="EI2269" s="56"/>
      <c r="EJ2269" s="56"/>
      <c r="EK2269" s="56"/>
      <c r="EL2269" s="56"/>
      <c r="EM2269" s="56"/>
      <c r="EN2269" s="56"/>
      <c r="EO2269" s="56"/>
      <c r="EP2269" s="56"/>
      <c r="EQ2269" s="56"/>
      <c r="ER2269" s="56"/>
      <c r="ES2269" s="56"/>
      <c r="ET2269" s="56"/>
      <c r="EU2269" s="56"/>
      <c r="EV2269" s="56"/>
      <c r="EW2269" s="56"/>
      <c r="EX2269" s="56"/>
      <c r="EY2269" s="56"/>
      <c r="EZ2269" s="56"/>
      <c r="FA2269" s="56"/>
      <c r="FB2269" s="56"/>
      <c r="FC2269" s="56"/>
      <c r="FD2269" s="56"/>
      <c r="FE2269" s="56"/>
      <c r="FF2269" s="56"/>
      <c r="FG2269" s="56"/>
      <c r="FH2269" s="56"/>
      <c r="FI2269" s="56"/>
      <c r="FJ2269" s="56"/>
      <c r="FK2269" s="56"/>
      <c r="FL2269" s="56"/>
      <c r="FM2269" s="56"/>
      <c r="FN2269" s="56"/>
      <c r="FO2269" s="56"/>
      <c r="FP2269" s="56"/>
      <c r="FQ2269" s="56"/>
      <c r="FR2269" s="56"/>
      <c r="FS2269" s="56"/>
      <c r="FT2269" s="56"/>
      <c r="FU2269" s="56"/>
      <c r="FV2269" s="56"/>
      <c r="FW2269" s="56"/>
      <c r="FX2269" s="56"/>
      <c r="FY2269" s="56"/>
      <c r="FZ2269" s="56"/>
      <c r="GA2269" s="56"/>
      <c r="GB2269" s="56"/>
      <c r="GC2269" s="56"/>
      <c r="GD2269" s="56"/>
      <c r="GE2269" s="56"/>
      <c r="GF2269" s="56"/>
    </row>
    <row r="2270" spans="1:48" s="18" customFormat="1" ht="17.25" customHeight="1">
      <c r="A2270" s="50"/>
      <c r="B2270" s="93" t="s">
        <v>669</v>
      </c>
      <c r="C2270" s="16"/>
      <c r="D2270" s="52"/>
      <c r="E2270" s="52"/>
      <c r="F2270" s="52"/>
      <c r="G2270" s="52"/>
      <c r="H2270" s="52"/>
      <c r="I2270" s="52"/>
      <c r="J2270" s="52"/>
      <c r="K2270" s="52"/>
      <c r="L2270" s="60">
        <f>SUM(L2271:L2275)</f>
        <v>4</v>
      </c>
      <c r="M2270" s="60">
        <f>SUM(M2271:M2275)</f>
        <v>1</v>
      </c>
      <c r="N2270" s="60">
        <f>SUM(N2271:N2275)</f>
        <v>1</v>
      </c>
      <c r="O2270" s="60">
        <f>SUM(O2271:O2275)</f>
        <v>1</v>
      </c>
      <c r="P2270" s="60">
        <f>SUM(P2271:P2275)</f>
        <v>4</v>
      </c>
      <c r="Q2270" s="23"/>
      <c r="R2270" s="23"/>
      <c r="S2270" s="17"/>
      <c r="T2270" s="47"/>
      <c r="U2270" s="47"/>
      <c r="V2270" s="47"/>
      <c r="W2270" s="47"/>
      <c r="X2270" s="47"/>
      <c r="Y2270" s="47"/>
      <c r="Z2270" s="47"/>
      <c r="AA2270" s="47"/>
      <c r="AB2270" s="47"/>
      <c r="AC2270" s="47"/>
      <c r="AD2270" s="47"/>
      <c r="AE2270" s="47"/>
      <c r="AF2270" s="47"/>
      <c r="AG2270" s="47"/>
      <c r="AH2270" s="47"/>
      <c r="AI2270" s="47"/>
      <c r="AJ2270" s="47"/>
      <c r="AK2270" s="47"/>
      <c r="AL2270" s="47"/>
      <c r="AM2270" s="47"/>
      <c r="AN2270" s="47"/>
      <c r="AO2270" s="47"/>
      <c r="AP2270" s="47"/>
      <c r="AQ2270" s="47"/>
      <c r="AR2270" s="47"/>
      <c r="AS2270" s="47"/>
      <c r="AT2270" s="47"/>
      <c r="AU2270" s="47"/>
      <c r="AV2270" s="47"/>
    </row>
    <row r="2271" spans="1:48" s="27" customFormat="1" ht="18.75" customHeight="1">
      <c r="A2271" s="12"/>
      <c r="B2271" s="97" t="s">
        <v>411</v>
      </c>
      <c r="C2271" s="15" t="s">
        <v>412</v>
      </c>
      <c r="D2271" s="40"/>
      <c r="E2271" s="40"/>
      <c r="F2271" s="40"/>
      <c r="G2271" s="40"/>
      <c r="H2271" s="40"/>
      <c r="I2271" s="40"/>
      <c r="J2271" s="40"/>
      <c r="K2271" s="40"/>
      <c r="L2271" s="40">
        <v>2</v>
      </c>
      <c r="M2271" s="40" t="s">
        <v>556</v>
      </c>
      <c r="N2271" s="40" t="s">
        <v>556</v>
      </c>
      <c r="O2271" s="40" t="s">
        <v>556</v>
      </c>
      <c r="P2271" s="40" t="s">
        <v>556</v>
      </c>
      <c r="Q2271" s="30"/>
      <c r="R2271" s="30"/>
      <c r="S2271" s="30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</row>
    <row r="2272" spans="1:48" s="27" customFormat="1" ht="18.75" customHeight="1">
      <c r="A2272" s="12"/>
      <c r="B2272" s="97" t="s">
        <v>448</v>
      </c>
      <c r="C2272" s="29" t="s">
        <v>449</v>
      </c>
      <c r="D2272" s="40"/>
      <c r="E2272" s="40"/>
      <c r="F2272" s="40"/>
      <c r="G2272" s="40"/>
      <c r="H2272" s="40"/>
      <c r="I2272" s="40"/>
      <c r="J2272" s="40"/>
      <c r="K2272" s="40"/>
      <c r="L2272" s="40">
        <v>1</v>
      </c>
      <c r="M2272" s="40" t="s">
        <v>556</v>
      </c>
      <c r="N2272" s="40" t="s">
        <v>556</v>
      </c>
      <c r="O2272" s="40" t="s">
        <v>556</v>
      </c>
      <c r="P2272" s="40" t="s">
        <v>556</v>
      </c>
      <c r="Q2272" s="30"/>
      <c r="R2272" s="30"/>
      <c r="S2272" s="30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</row>
    <row r="2273" spans="1:48" s="27" customFormat="1" ht="18.75" customHeight="1">
      <c r="A2273" s="12"/>
      <c r="B2273" s="97" t="s">
        <v>529</v>
      </c>
      <c r="C2273" s="29" t="s">
        <v>530</v>
      </c>
      <c r="D2273" s="40"/>
      <c r="E2273" s="40"/>
      <c r="F2273" s="40"/>
      <c r="G2273" s="40"/>
      <c r="H2273" s="40"/>
      <c r="I2273" s="40"/>
      <c r="J2273" s="40"/>
      <c r="K2273" s="40"/>
      <c r="L2273" s="40">
        <v>1</v>
      </c>
      <c r="M2273" s="40" t="s">
        <v>556</v>
      </c>
      <c r="N2273" s="40">
        <v>1</v>
      </c>
      <c r="O2273" s="40" t="s">
        <v>556</v>
      </c>
      <c r="P2273" s="40">
        <v>1</v>
      </c>
      <c r="Q2273" s="30"/>
      <c r="R2273" s="30"/>
      <c r="S2273" s="30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</row>
    <row r="2274" spans="1:48" s="27" customFormat="1" ht="16.5" customHeight="1">
      <c r="A2274" s="12"/>
      <c r="B2274" s="97" t="s">
        <v>555</v>
      </c>
      <c r="C2274" s="15" t="s">
        <v>445</v>
      </c>
      <c r="D2274" s="40"/>
      <c r="E2274" s="40"/>
      <c r="F2274" s="40"/>
      <c r="G2274" s="40">
        <v>21</v>
      </c>
      <c r="H2274" s="40">
        <v>21</v>
      </c>
      <c r="I2274" s="40">
        <v>22</v>
      </c>
      <c r="J2274" s="40">
        <v>23</v>
      </c>
      <c r="K2274" s="40">
        <v>23</v>
      </c>
      <c r="L2274" s="40" t="s">
        <v>556</v>
      </c>
      <c r="M2274" s="40" t="s">
        <v>556</v>
      </c>
      <c r="N2274" s="40" t="s">
        <v>556</v>
      </c>
      <c r="O2274" s="40" t="s">
        <v>556</v>
      </c>
      <c r="P2274" s="40">
        <v>3</v>
      </c>
      <c r="Q2274" s="30"/>
      <c r="R2274" s="30"/>
      <c r="S2274" s="30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</row>
    <row r="2275" spans="1:48" s="27" customFormat="1" ht="18.75" customHeight="1">
      <c r="A2275" s="12"/>
      <c r="B2275" s="97" t="s">
        <v>531</v>
      </c>
      <c r="C2275" s="29" t="s">
        <v>532</v>
      </c>
      <c r="D2275" s="40"/>
      <c r="E2275" s="40"/>
      <c r="F2275" s="40"/>
      <c r="G2275" s="40"/>
      <c r="H2275" s="40"/>
      <c r="I2275" s="40"/>
      <c r="J2275" s="40"/>
      <c r="K2275" s="40"/>
      <c r="L2275" s="40" t="s">
        <v>556</v>
      </c>
      <c r="M2275" s="40">
        <v>1</v>
      </c>
      <c r="N2275" s="40" t="s">
        <v>556</v>
      </c>
      <c r="O2275" s="40">
        <v>1</v>
      </c>
      <c r="P2275" s="40" t="s">
        <v>556</v>
      </c>
      <c r="Q2275" s="30"/>
      <c r="R2275" s="30"/>
      <c r="S2275" s="30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</row>
    <row r="2276" spans="1:19" ht="15" customHeight="1">
      <c r="A2276" s="399" t="s">
        <v>663</v>
      </c>
      <c r="B2276" s="399"/>
      <c r="C2276" s="399"/>
      <c r="D2276" s="399"/>
      <c r="E2276" s="399"/>
      <c r="F2276" s="399"/>
      <c r="G2276" s="399"/>
      <c r="H2276" s="399"/>
      <c r="I2276" s="399"/>
      <c r="J2276" s="399"/>
      <c r="K2276" s="399"/>
      <c r="L2276" s="399"/>
      <c r="M2276" s="399"/>
      <c r="N2276" s="399"/>
      <c r="O2276" s="399"/>
      <c r="P2276" s="399"/>
      <c r="Q2276" s="20"/>
      <c r="R2276" s="20"/>
      <c r="S2276" s="7"/>
    </row>
    <row r="2277" spans="1:19" ht="13.5" customHeight="1">
      <c r="A2277" s="400" t="s">
        <v>909</v>
      </c>
      <c r="B2277" s="400"/>
      <c r="C2277" s="400"/>
      <c r="D2277" s="400"/>
      <c r="E2277" s="400"/>
      <c r="F2277" s="400"/>
      <c r="G2277" s="400"/>
      <c r="H2277" s="400"/>
      <c r="I2277" s="400"/>
      <c r="J2277" s="400"/>
      <c r="K2277" s="400"/>
      <c r="L2277" s="400"/>
      <c r="M2277" s="400"/>
      <c r="N2277" s="400"/>
      <c r="O2277" s="400"/>
      <c r="P2277" s="400"/>
      <c r="Q2277" s="21"/>
      <c r="R2277" s="21"/>
      <c r="S2277" s="8"/>
    </row>
    <row r="2278" spans="1:188" s="57" customFormat="1" ht="17.25" customHeight="1">
      <c r="A2278" s="13">
        <v>26</v>
      </c>
      <c r="B2278" s="92" t="s">
        <v>773</v>
      </c>
      <c r="C2278" s="45"/>
      <c r="D2278" s="44">
        <v>28</v>
      </c>
      <c r="E2278" s="44">
        <v>8</v>
      </c>
      <c r="F2278" s="44"/>
      <c r="G2278" s="44">
        <v>28</v>
      </c>
      <c r="H2278" s="44">
        <v>28</v>
      </c>
      <c r="I2278" s="44">
        <v>28</v>
      </c>
      <c r="J2278" s="44">
        <v>28</v>
      </c>
      <c r="K2278" s="44">
        <v>28</v>
      </c>
      <c r="L2278" s="44">
        <f aca="true" t="shared" si="71" ref="L2278:P2279">L2279</f>
        <v>5</v>
      </c>
      <c r="M2278" s="44">
        <f t="shared" si="71"/>
        <v>5</v>
      </c>
      <c r="N2278" s="44">
        <f t="shared" si="71"/>
        <v>5</v>
      </c>
      <c r="O2278" s="44">
        <f t="shared" si="71"/>
        <v>5</v>
      </c>
      <c r="P2278" s="44">
        <f t="shared" si="71"/>
        <v>5</v>
      </c>
      <c r="Q2278" s="54" t="s">
        <v>649</v>
      </c>
      <c r="R2278" s="54">
        <v>7</v>
      </c>
      <c r="S2278" s="55" t="s">
        <v>590</v>
      </c>
      <c r="T2278" s="56"/>
      <c r="U2278" s="56"/>
      <c r="V2278" s="56"/>
      <c r="W2278" s="56"/>
      <c r="X2278" s="56"/>
      <c r="Y2278" s="56"/>
      <c r="Z2278" s="56"/>
      <c r="AA2278" s="56"/>
      <c r="AB2278" s="56"/>
      <c r="AC2278" s="56"/>
      <c r="AD2278" s="56"/>
      <c r="AE2278" s="56"/>
      <c r="AF2278" s="56"/>
      <c r="AG2278" s="56"/>
      <c r="AH2278" s="56"/>
      <c r="AI2278" s="56"/>
      <c r="AJ2278" s="56"/>
      <c r="AK2278" s="56"/>
      <c r="AL2278" s="56"/>
      <c r="AM2278" s="56"/>
      <c r="AN2278" s="56"/>
      <c r="AO2278" s="56"/>
      <c r="AP2278" s="56"/>
      <c r="AQ2278" s="56"/>
      <c r="AR2278" s="56"/>
      <c r="AS2278" s="56"/>
      <c r="AT2278" s="56"/>
      <c r="AU2278" s="56"/>
      <c r="AV2278" s="56"/>
      <c r="AW2278" s="56"/>
      <c r="AX2278" s="56"/>
      <c r="AY2278" s="56"/>
      <c r="AZ2278" s="56"/>
      <c r="BA2278" s="56"/>
      <c r="BB2278" s="56"/>
      <c r="BC2278" s="56"/>
      <c r="BD2278" s="56"/>
      <c r="BE2278" s="56"/>
      <c r="BF2278" s="56"/>
      <c r="BG2278" s="56"/>
      <c r="BH2278" s="56"/>
      <c r="BI2278" s="56"/>
      <c r="BJ2278" s="56"/>
      <c r="BK2278" s="56"/>
      <c r="BL2278" s="56"/>
      <c r="BM2278" s="56"/>
      <c r="BN2278" s="56"/>
      <c r="BO2278" s="56"/>
      <c r="BP2278" s="56"/>
      <c r="BQ2278" s="56"/>
      <c r="BR2278" s="56"/>
      <c r="BS2278" s="56"/>
      <c r="BT2278" s="56"/>
      <c r="BU2278" s="56"/>
      <c r="BV2278" s="56"/>
      <c r="BW2278" s="56"/>
      <c r="BX2278" s="56"/>
      <c r="BY2278" s="56"/>
      <c r="BZ2278" s="56"/>
      <c r="CA2278" s="56"/>
      <c r="CB2278" s="56"/>
      <c r="CC2278" s="56"/>
      <c r="CD2278" s="56"/>
      <c r="CE2278" s="56"/>
      <c r="CF2278" s="56"/>
      <c r="CG2278" s="56"/>
      <c r="CH2278" s="56"/>
      <c r="CI2278" s="56"/>
      <c r="CJ2278" s="56"/>
      <c r="CK2278" s="56"/>
      <c r="CL2278" s="56"/>
      <c r="CM2278" s="56"/>
      <c r="CN2278" s="56"/>
      <c r="CO2278" s="56"/>
      <c r="CP2278" s="56"/>
      <c r="CQ2278" s="56"/>
      <c r="CR2278" s="56"/>
      <c r="CS2278" s="56"/>
      <c r="CT2278" s="56"/>
      <c r="CU2278" s="56"/>
      <c r="CV2278" s="56"/>
      <c r="CW2278" s="56"/>
      <c r="CX2278" s="56"/>
      <c r="CY2278" s="56"/>
      <c r="CZ2278" s="56"/>
      <c r="DA2278" s="56"/>
      <c r="DB2278" s="56"/>
      <c r="DC2278" s="56"/>
      <c r="DD2278" s="56"/>
      <c r="DE2278" s="56"/>
      <c r="DF2278" s="56"/>
      <c r="DG2278" s="56"/>
      <c r="DH2278" s="56"/>
      <c r="DI2278" s="56"/>
      <c r="DJ2278" s="56"/>
      <c r="DK2278" s="56"/>
      <c r="DL2278" s="56"/>
      <c r="DM2278" s="56"/>
      <c r="DN2278" s="56"/>
      <c r="DO2278" s="56"/>
      <c r="DP2278" s="56"/>
      <c r="DQ2278" s="56"/>
      <c r="DR2278" s="56"/>
      <c r="DS2278" s="56"/>
      <c r="DT2278" s="56"/>
      <c r="DU2278" s="56"/>
      <c r="DV2278" s="56"/>
      <c r="DW2278" s="56"/>
      <c r="DX2278" s="56"/>
      <c r="DY2278" s="56"/>
      <c r="DZ2278" s="56"/>
      <c r="EA2278" s="56"/>
      <c r="EB2278" s="56"/>
      <c r="EC2278" s="56"/>
      <c r="ED2278" s="56"/>
      <c r="EE2278" s="56"/>
      <c r="EF2278" s="56"/>
      <c r="EG2278" s="56"/>
      <c r="EH2278" s="56"/>
      <c r="EI2278" s="56"/>
      <c r="EJ2278" s="56"/>
      <c r="EK2278" s="56"/>
      <c r="EL2278" s="56"/>
      <c r="EM2278" s="56"/>
      <c r="EN2278" s="56"/>
      <c r="EO2278" s="56"/>
      <c r="EP2278" s="56"/>
      <c r="EQ2278" s="56"/>
      <c r="ER2278" s="56"/>
      <c r="ES2278" s="56"/>
      <c r="ET2278" s="56"/>
      <c r="EU2278" s="56"/>
      <c r="EV2278" s="56"/>
      <c r="EW2278" s="56"/>
      <c r="EX2278" s="56"/>
      <c r="EY2278" s="56"/>
      <c r="EZ2278" s="56"/>
      <c r="FA2278" s="56"/>
      <c r="FB2278" s="56"/>
      <c r="FC2278" s="56"/>
      <c r="FD2278" s="56"/>
      <c r="FE2278" s="56"/>
      <c r="FF2278" s="56"/>
      <c r="FG2278" s="56"/>
      <c r="FH2278" s="56"/>
      <c r="FI2278" s="56"/>
      <c r="FJ2278" s="56"/>
      <c r="FK2278" s="56"/>
      <c r="FL2278" s="56"/>
      <c r="FM2278" s="56"/>
      <c r="FN2278" s="56"/>
      <c r="FO2278" s="56"/>
      <c r="FP2278" s="56"/>
      <c r="FQ2278" s="56"/>
      <c r="FR2278" s="56"/>
      <c r="FS2278" s="56"/>
      <c r="FT2278" s="56"/>
      <c r="FU2278" s="56"/>
      <c r="FV2278" s="56"/>
      <c r="FW2278" s="56"/>
      <c r="FX2278" s="56"/>
      <c r="FY2278" s="56"/>
      <c r="FZ2278" s="56"/>
      <c r="GA2278" s="56"/>
      <c r="GB2278" s="56"/>
      <c r="GC2278" s="56"/>
      <c r="GD2278" s="56"/>
      <c r="GE2278" s="56"/>
      <c r="GF2278" s="56"/>
    </row>
    <row r="2279" spans="1:48" s="18" customFormat="1" ht="17.25" customHeight="1">
      <c r="A2279" s="50"/>
      <c r="B2279" s="93" t="s">
        <v>669</v>
      </c>
      <c r="C2279" s="16"/>
      <c r="D2279" s="52"/>
      <c r="E2279" s="52"/>
      <c r="F2279" s="52"/>
      <c r="G2279" s="52"/>
      <c r="H2279" s="52"/>
      <c r="I2279" s="52"/>
      <c r="J2279" s="52"/>
      <c r="K2279" s="52"/>
      <c r="L2279" s="60">
        <f t="shared" si="71"/>
        <v>5</v>
      </c>
      <c r="M2279" s="60">
        <f t="shared" si="71"/>
        <v>5</v>
      </c>
      <c r="N2279" s="60">
        <f t="shared" si="71"/>
        <v>5</v>
      </c>
      <c r="O2279" s="60">
        <f t="shared" si="71"/>
        <v>5</v>
      </c>
      <c r="P2279" s="60">
        <f t="shared" si="71"/>
        <v>5</v>
      </c>
      <c r="Q2279" s="23"/>
      <c r="R2279" s="23"/>
      <c r="S2279" s="17"/>
      <c r="T2279" s="47"/>
      <c r="U2279" s="47"/>
      <c r="V2279" s="47"/>
      <c r="W2279" s="47"/>
      <c r="X2279" s="47"/>
      <c r="Y2279" s="47"/>
      <c r="Z2279" s="47"/>
      <c r="AA2279" s="47"/>
      <c r="AB2279" s="47"/>
      <c r="AC2279" s="47"/>
      <c r="AD2279" s="47"/>
      <c r="AE2279" s="47"/>
      <c r="AF2279" s="47"/>
      <c r="AG2279" s="47"/>
      <c r="AH2279" s="47"/>
      <c r="AI2279" s="47"/>
      <c r="AJ2279" s="47"/>
      <c r="AK2279" s="47"/>
      <c r="AL2279" s="47"/>
      <c r="AM2279" s="47"/>
      <c r="AN2279" s="47"/>
      <c r="AO2279" s="47"/>
      <c r="AP2279" s="47"/>
      <c r="AQ2279" s="47"/>
      <c r="AR2279" s="47"/>
      <c r="AS2279" s="47"/>
      <c r="AT2279" s="47"/>
      <c r="AU2279" s="47"/>
      <c r="AV2279" s="47"/>
    </row>
    <row r="2280" spans="1:48" s="27" customFormat="1" ht="18.75" customHeight="1">
      <c r="A2280" s="12"/>
      <c r="B2280" s="97" t="s">
        <v>411</v>
      </c>
      <c r="C2280" s="15" t="s">
        <v>412</v>
      </c>
      <c r="D2280" s="40"/>
      <c r="E2280" s="40"/>
      <c r="F2280" s="40"/>
      <c r="G2280" s="40"/>
      <c r="H2280" s="40"/>
      <c r="I2280" s="40"/>
      <c r="J2280" s="40"/>
      <c r="K2280" s="40"/>
      <c r="L2280" s="40">
        <v>5</v>
      </c>
      <c r="M2280" s="40">
        <v>5</v>
      </c>
      <c r="N2280" s="40">
        <v>5</v>
      </c>
      <c r="O2280" s="40">
        <v>5</v>
      </c>
      <c r="P2280" s="40">
        <v>5</v>
      </c>
      <c r="Q2280" s="30"/>
      <c r="R2280" s="30"/>
      <c r="S2280" s="30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</row>
    <row r="2281" spans="1:19" ht="15" customHeight="1">
      <c r="A2281" s="399" t="s">
        <v>662</v>
      </c>
      <c r="B2281" s="399"/>
      <c r="C2281" s="399"/>
      <c r="D2281" s="399"/>
      <c r="E2281" s="399"/>
      <c r="F2281" s="399"/>
      <c r="G2281" s="399"/>
      <c r="H2281" s="399"/>
      <c r="I2281" s="399"/>
      <c r="J2281" s="399"/>
      <c r="K2281" s="399"/>
      <c r="L2281" s="399"/>
      <c r="M2281" s="399"/>
      <c r="N2281" s="399"/>
      <c r="O2281" s="399"/>
      <c r="P2281" s="399"/>
      <c r="Q2281" s="20"/>
      <c r="R2281" s="20"/>
      <c r="S2281" s="7"/>
    </row>
    <row r="2282" spans="1:19" ht="13.5" customHeight="1">
      <c r="A2282" s="400" t="s">
        <v>909</v>
      </c>
      <c r="B2282" s="400"/>
      <c r="C2282" s="400"/>
      <c r="D2282" s="400"/>
      <c r="E2282" s="400"/>
      <c r="F2282" s="400"/>
      <c r="G2282" s="400"/>
      <c r="H2282" s="400"/>
      <c r="I2282" s="400"/>
      <c r="J2282" s="400"/>
      <c r="K2282" s="400"/>
      <c r="L2282" s="400"/>
      <c r="M2282" s="400"/>
      <c r="N2282" s="400"/>
      <c r="O2282" s="400"/>
      <c r="P2282" s="400"/>
      <c r="Q2282" s="21"/>
      <c r="R2282" s="21"/>
      <c r="S2282" s="8"/>
    </row>
    <row r="2283" spans="1:188" s="57" customFormat="1" ht="16.5" customHeight="1">
      <c r="A2283" s="13">
        <v>27</v>
      </c>
      <c r="B2283" s="92" t="s">
        <v>754</v>
      </c>
      <c r="C2283" s="45"/>
      <c r="D2283" s="44">
        <v>60</v>
      </c>
      <c r="E2283" s="44">
        <v>9</v>
      </c>
      <c r="F2283" s="44"/>
      <c r="G2283" s="44">
        <v>63</v>
      </c>
      <c r="H2283" s="44">
        <v>64</v>
      </c>
      <c r="I2283" s="44">
        <v>65</v>
      </c>
      <c r="J2283" s="44">
        <v>66</v>
      </c>
      <c r="K2283" s="44">
        <v>67</v>
      </c>
      <c r="L2283" s="44">
        <v>3</v>
      </c>
      <c r="M2283" s="44">
        <v>1</v>
      </c>
      <c r="N2283" s="44">
        <v>1</v>
      </c>
      <c r="O2283" s="44">
        <v>1</v>
      </c>
      <c r="P2283" s="44" t="str">
        <f>P2284</f>
        <v> -</v>
      </c>
      <c r="Q2283" s="54" t="s">
        <v>649</v>
      </c>
      <c r="R2283" s="54">
        <v>7</v>
      </c>
      <c r="S2283" s="55" t="s">
        <v>590</v>
      </c>
      <c r="T2283" s="56"/>
      <c r="U2283" s="56"/>
      <c r="V2283" s="56"/>
      <c r="W2283" s="56"/>
      <c r="X2283" s="56"/>
      <c r="Y2283" s="56"/>
      <c r="Z2283" s="56"/>
      <c r="AA2283" s="56"/>
      <c r="AB2283" s="56"/>
      <c r="AC2283" s="56"/>
      <c r="AD2283" s="56"/>
      <c r="AE2283" s="56"/>
      <c r="AF2283" s="56"/>
      <c r="AG2283" s="56"/>
      <c r="AH2283" s="56"/>
      <c r="AI2283" s="56"/>
      <c r="AJ2283" s="56"/>
      <c r="AK2283" s="56"/>
      <c r="AL2283" s="56"/>
      <c r="AM2283" s="56"/>
      <c r="AN2283" s="56"/>
      <c r="AO2283" s="56"/>
      <c r="AP2283" s="56"/>
      <c r="AQ2283" s="56"/>
      <c r="AR2283" s="56"/>
      <c r="AS2283" s="56"/>
      <c r="AT2283" s="56"/>
      <c r="AU2283" s="56"/>
      <c r="AV2283" s="56"/>
      <c r="AW2283" s="56"/>
      <c r="AX2283" s="56"/>
      <c r="AY2283" s="56"/>
      <c r="AZ2283" s="56"/>
      <c r="BA2283" s="56"/>
      <c r="BB2283" s="56"/>
      <c r="BC2283" s="56"/>
      <c r="BD2283" s="56"/>
      <c r="BE2283" s="56"/>
      <c r="BF2283" s="56"/>
      <c r="BG2283" s="56"/>
      <c r="BH2283" s="56"/>
      <c r="BI2283" s="56"/>
      <c r="BJ2283" s="56"/>
      <c r="BK2283" s="56"/>
      <c r="BL2283" s="56"/>
      <c r="BM2283" s="56"/>
      <c r="BN2283" s="56"/>
      <c r="BO2283" s="56"/>
      <c r="BP2283" s="56"/>
      <c r="BQ2283" s="56"/>
      <c r="BR2283" s="56"/>
      <c r="BS2283" s="56"/>
      <c r="BT2283" s="56"/>
      <c r="BU2283" s="56"/>
      <c r="BV2283" s="56"/>
      <c r="BW2283" s="56"/>
      <c r="BX2283" s="56"/>
      <c r="BY2283" s="56"/>
      <c r="BZ2283" s="56"/>
      <c r="CA2283" s="56"/>
      <c r="CB2283" s="56"/>
      <c r="CC2283" s="56"/>
      <c r="CD2283" s="56"/>
      <c r="CE2283" s="56"/>
      <c r="CF2283" s="56"/>
      <c r="CG2283" s="56"/>
      <c r="CH2283" s="56"/>
      <c r="CI2283" s="56"/>
      <c r="CJ2283" s="56"/>
      <c r="CK2283" s="56"/>
      <c r="CL2283" s="56"/>
      <c r="CM2283" s="56"/>
      <c r="CN2283" s="56"/>
      <c r="CO2283" s="56"/>
      <c r="CP2283" s="56"/>
      <c r="CQ2283" s="56"/>
      <c r="CR2283" s="56"/>
      <c r="CS2283" s="56"/>
      <c r="CT2283" s="56"/>
      <c r="CU2283" s="56"/>
      <c r="CV2283" s="56"/>
      <c r="CW2283" s="56"/>
      <c r="CX2283" s="56"/>
      <c r="CY2283" s="56"/>
      <c r="CZ2283" s="56"/>
      <c r="DA2283" s="56"/>
      <c r="DB2283" s="56"/>
      <c r="DC2283" s="56"/>
      <c r="DD2283" s="56"/>
      <c r="DE2283" s="56"/>
      <c r="DF2283" s="56"/>
      <c r="DG2283" s="56"/>
      <c r="DH2283" s="56"/>
      <c r="DI2283" s="56"/>
      <c r="DJ2283" s="56"/>
      <c r="DK2283" s="56"/>
      <c r="DL2283" s="56"/>
      <c r="DM2283" s="56"/>
      <c r="DN2283" s="56"/>
      <c r="DO2283" s="56"/>
      <c r="DP2283" s="56"/>
      <c r="DQ2283" s="56"/>
      <c r="DR2283" s="56"/>
      <c r="DS2283" s="56"/>
      <c r="DT2283" s="56"/>
      <c r="DU2283" s="56"/>
      <c r="DV2283" s="56"/>
      <c r="DW2283" s="56"/>
      <c r="DX2283" s="56"/>
      <c r="DY2283" s="56"/>
      <c r="DZ2283" s="56"/>
      <c r="EA2283" s="56"/>
      <c r="EB2283" s="56"/>
      <c r="EC2283" s="56"/>
      <c r="ED2283" s="56"/>
      <c r="EE2283" s="56"/>
      <c r="EF2283" s="56"/>
      <c r="EG2283" s="56"/>
      <c r="EH2283" s="56"/>
      <c r="EI2283" s="56"/>
      <c r="EJ2283" s="56"/>
      <c r="EK2283" s="56"/>
      <c r="EL2283" s="56"/>
      <c r="EM2283" s="56"/>
      <c r="EN2283" s="56"/>
      <c r="EO2283" s="56"/>
      <c r="EP2283" s="56"/>
      <c r="EQ2283" s="56"/>
      <c r="ER2283" s="56"/>
      <c r="ES2283" s="56"/>
      <c r="ET2283" s="56"/>
      <c r="EU2283" s="56"/>
      <c r="EV2283" s="56"/>
      <c r="EW2283" s="56"/>
      <c r="EX2283" s="56"/>
      <c r="EY2283" s="56"/>
      <c r="EZ2283" s="56"/>
      <c r="FA2283" s="56"/>
      <c r="FB2283" s="56"/>
      <c r="FC2283" s="56"/>
      <c r="FD2283" s="56"/>
      <c r="FE2283" s="56"/>
      <c r="FF2283" s="56"/>
      <c r="FG2283" s="56"/>
      <c r="FH2283" s="56"/>
      <c r="FI2283" s="56"/>
      <c r="FJ2283" s="56"/>
      <c r="FK2283" s="56"/>
      <c r="FL2283" s="56"/>
      <c r="FM2283" s="56"/>
      <c r="FN2283" s="56"/>
      <c r="FO2283" s="56"/>
      <c r="FP2283" s="56"/>
      <c r="FQ2283" s="56"/>
      <c r="FR2283" s="56"/>
      <c r="FS2283" s="56"/>
      <c r="FT2283" s="56"/>
      <c r="FU2283" s="56"/>
      <c r="FV2283" s="56"/>
      <c r="FW2283" s="56"/>
      <c r="FX2283" s="56"/>
      <c r="FY2283" s="56"/>
      <c r="FZ2283" s="56"/>
      <c r="GA2283" s="56"/>
      <c r="GB2283" s="56"/>
      <c r="GC2283" s="56"/>
      <c r="GD2283" s="56"/>
      <c r="GE2283" s="56"/>
      <c r="GF2283" s="56"/>
    </row>
    <row r="2284" spans="1:48" s="18" customFormat="1" ht="16.5" customHeight="1">
      <c r="A2284" s="50"/>
      <c r="B2284" s="93" t="s">
        <v>669</v>
      </c>
      <c r="C2284" s="16"/>
      <c r="D2284" s="52"/>
      <c r="E2284" s="52"/>
      <c r="F2284" s="52"/>
      <c r="G2284" s="52"/>
      <c r="H2284" s="52"/>
      <c r="I2284" s="52"/>
      <c r="J2284" s="52"/>
      <c r="K2284" s="52"/>
      <c r="L2284" s="60">
        <v>3</v>
      </c>
      <c r="M2284" s="60" t="str">
        <f>M2285</f>
        <v> -</v>
      </c>
      <c r="N2284" s="60">
        <v>1</v>
      </c>
      <c r="O2284" s="60">
        <v>1</v>
      </c>
      <c r="P2284" s="60" t="str">
        <f>P2285</f>
        <v> -</v>
      </c>
      <c r="Q2284" s="23"/>
      <c r="R2284" s="23"/>
      <c r="S2284" s="17"/>
      <c r="T2284" s="47"/>
      <c r="U2284" s="47"/>
      <c r="V2284" s="47"/>
      <c r="W2284" s="47"/>
      <c r="X2284" s="47"/>
      <c r="Y2284" s="47"/>
      <c r="Z2284" s="47"/>
      <c r="AA2284" s="47"/>
      <c r="AB2284" s="47"/>
      <c r="AC2284" s="47"/>
      <c r="AD2284" s="47"/>
      <c r="AE2284" s="47"/>
      <c r="AF2284" s="47"/>
      <c r="AG2284" s="47"/>
      <c r="AH2284" s="47"/>
      <c r="AI2284" s="47"/>
      <c r="AJ2284" s="47"/>
      <c r="AK2284" s="47"/>
      <c r="AL2284" s="47"/>
      <c r="AM2284" s="47"/>
      <c r="AN2284" s="47"/>
      <c r="AO2284" s="47"/>
      <c r="AP2284" s="47"/>
      <c r="AQ2284" s="47"/>
      <c r="AR2284" s="47"/>
      <c r="AS2284" s="47"/>
      <c r="AT2284" s="47"/>
      <c r="AU2284" s="47"/>
      <c r="AV2284" s="47"/>
    </row>
    <row r="2285" spans="1:48" s="27" customFormat="1" ht="16.5" customHeight="1">
      <c r="A2285" s="12"/>
      <c r="B2285" s="97" t="s">
        <v>560</v>
      </c>
      <c r="C2285" s="29" t="s">
        <v>1319</v>
      </c>
      <c r="D2285" s="40"/>
      <c r="E2285" s="40"/>
      <c r="F2285" s="40"/>
      <c r="G2285" s="40">
        <v>2</v>
      </c>
      <c r="H2285" s="40">
        <v>2</v>
      </c>
      <c r="I2285" s="40">
        <v>2</v>
      </c>
      <c r="J2285" s="40">
        <v>2</v>
      </c>
      <c r="K2285" s="40">
        <v>2</v>
      </c>
      <c r="L2285" s="40">
        <v>1</v>
      </c>
      <c r="M2285" s="40" t="s">
        <v>556</v>
      </c>
      <c r="N2285" s="40" t="s">
        <v>556</v>
      </c>
      <c r="O2285" s="40" t="s">
        <v>556</v>
      </c>
      <c r="P2285" s="40" t="s">
        <v>556</v>
      </c>
      <c r="Q2285" s="30"/>
      <c r="R2285" s="30"/>
      <c r="S2285" s="30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</row>
    <row r="2286" spans="1:48" s="27" customFormat="1" ht="16.5" customHeight="1">
      <c r="A2286" s="12"/>
      <c r="B2286" s="97" t="s">
        <v>555</v>
      </c>
      <c r="C2286" s="15" t="s">
        <v>445</v>
      </c>
      <c r="D2286" s="40"/>
      <c r="E2286" s="40"/>
      <c r="F2286" s="40"/>
      <c r="G2286" s="40">
        <v>21</v>
      </c>
      <c r="H2286" s="40">
        <v>21</v>
      </c>
      <c r="I2286" s="40">
        <v>22</v>
      </c>
      <c r="J2286" s="40">
        <v>23</v>
      </c>
      <c r="K2286" s="40">
        <v>23</v>
      </c>
      <c r="L2286" s="40">
        <v>2</v>
      </c>
      <c r="M2286" s="40" t="s">
        <v>556</v>
      </c>
      <c r="N2286" s="40" t="s">
        <v>556</v>
      </c>
      <c r="O2286" s="40">
        <v>1</v>
      </c>
      <c r="P2286" s="40" t="s">
        <v>556</v>
      </c>
      <c r="Q2286" s="30"/>
      <c r="R2286" s="30"/>
      <c r="S2286" s="30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</row>
    <row r="2287" spans="1:48" s="27" customFormat="1" ht="16.5" customHeight="1">
      <c r="A2287" s="12"/>
      <c r="B2287" s="97" t="s">
        <v>411</v>
      </c>
      <c r="C2287" s="15" t="s">
        <v>412</v>
      </c>
      <c r="D2287" s="40"/>
      <c r="E2287" s="40"/>
      <c r="F2287" s="40"/>
      <c r="G2287" s="40">
        <v>1</v>
      </c>
      <c r="H2287" s="40">
        <v>1</v>
      </c>
      <c r="I2287" s="40">
        <v>2</v>
      </c>
      <c r="J2287" s="40">
        <v>2</v>
      </c>
      <c r="K2287" s="40">
        <v>2</v>
      </c>
      <c r="L2287" s="40" t="s">
        <v>556</v>
      </c>
      <c r="M2287" s="40" t="s">
        <v>556</v>
      </c>
      <c r="N2287" s="40">
        <v>1</v>
      </c>
      <c r="O2287" s="40" t="s">
        <v>556</v>
      </c>
      <c r="P2287" s="40" t="s">
        <v>556</v>
      </c>
      <c r="Q2287" s="30"/>
      <c r="R2287" s="30"/>
      <c r="S2287" s="30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</row>
    <row r="2288" spans="1:19" s="47" customFormat="1" ht="16.5" customHeight="1">
      <c r="A2288" s="50"/>
      <c r="B2288" s="93" t="s">
        <v>670</v>
      </c>
      <c r="C2288" s="94"/>
      <c r="D2288" s="60"/>
      <c r="E2288" s="60"/>
      <c r="F2288" s="60"/>
      <c r="G2288" s="60"/>
      <c r="H2288" s="60"/>
      <c r="I2288" s="60"/>
      <c r="J2288" s="60"/>
      <c r="K2288" s="60"/>
      <c r="L2288" s="60" t="str">
        <f>L2289</f>
        <v> -</v>
      </c>
      <c r="M2288" s="60">
        <f>M2289</f>
        <v>1</v>
      </c>
      <c r="N2288" s="60" t="str">
        <f>N2289</f>
        <v> -</v>
      </c>
      <c r="O2288" s="60" t="str">
        <f>O2289</f>
        <v> -</v>
      </c>
      <c r="P2288" s="60" t="str">
        <f>P2289</f>
        <v> -</v>
      </c>
      <c r="Q2288" s="95"/>
      <c r="R2288" s="95"/>
      <c r="S2288" s="96"/>
    </row>
    <row r="2289" spans="1:187" s="5" customFormat="1" ht="16.5" customHeight="1">
      <c r="A2289" s="12"/>
      <c r="B2289" s="97" t="s">
        <v>561</v>
      </c>
      <c r="C2289" s="66" t="s">
        <v>804</v>
      </c>
      <c r="D2289" s="40"/>
      <c r="E2289" s="40"/>
      <c r="F2289" s="40"/>
      <c r="G2289" s="40">
        <v>1</v>
      </c>
      <c r="H2289" s="40">
        <v>1</v>
      </c>
      <c r="I2289" s="40">
        <v>1</v>
      </c>
      <c r="J2289" s="40">
        <v>1</v>
      </c>
      <c r="K2289" s="40">
        <v>1</v>
      </c>
      <c r="L2289" s="40" t="s">
        <v>556</v>
      </c>
      <c r="M2289" s="40">
        <v>1</v>
      </c>
      <c r="N2289" s="40" t="s">
        <v>556</v>
      </c>
      <c r="O2289" s="40" t="s">
        <v>556</v>
      </c>
      <c r="P2289" s="40" t="s">
        <v>556</v>
      </c>
      <c r="Q2289" s="22"/>
      <c r="R2289" s="22"/>
      <c r="S2289" s="31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  <c r="AR2289" s="4"/>
      <c r="AS2289" s="4"/>
      <c r="AT2289" s="4"/>
      <c r="AU2289" s="4"/>
      <c r="AV2289" s="4"/>
      <c r="AW2289" s="4"/>
      <c r="AX2289" s="4"/>
      <c r="AY2289" s="4"/>
      <c r="AZ2289" s="4"/>
      <c r="BA2289" s="4"/>
      <c r="BB2289" s="4"/>
      <c r="BC2289" s="4"/>
      <c r="BD2289" s="4"/>
      <c r="BE2289" s="4"/>
      <c r="BF2289" s="4"/>
      <c r="BG2289" s="4"/>
      <c r="BH2289" s="4"/>
      <c r="BI2289" s="4"/>
      <c r="BJ2289" s="4"/>
      <c r="BK2289" s="4"/>
      <c r="BL2289" s="4"/>
      <c r="BM2289" s="4"/>
      <c r="BN2289" s="4"/>
      <c r="BO2289" s="4"/>
      <c r="BP2289" s="4"/>
      <c r="BQ2289" s="4"/>
      <c r="BR2289" s="4"/>
      <c r="BS2289" s="4"/>
      <c r="BT2289" s="4"/>
      <c r="BU2289" s="4"/>
      <c r="BV2289" s="4"/>
      <c r="BW2289" s="4"/>
      <c r="BX2289" s="4"/>
      <c r="BY2289" s="4"/>
      <c r="BZ2289" s="4"/>
      <c r="CA2289" s="4"/>
      <c r="CB2289" s="4"/>
      <c r="CC2289" s="4"/>
      <c r="CD2289" s="4"/>
      <c r="CE2289" s="4"/>
      <c r="CF2289" s="4"/>
      <c r="CG2289" s="4"/>
      <c r="CH2289" s="4"/>
      <c r="CI2289" s="4"/>
      <c r="CJ2289" s="4"/>
      <c r="CK2289" s="4"/>
      <c r="CL2289" s="4"/>
      <c r="CM2289" s="4"/>
      <c r="CN2289" s="4"/>
      <c r="CO2289" s="4"/>
      <c r="CP2289" s="4"/>
      <c r="CQ2289" s="4"/>
      <c r="CR2289" s="4"/>
      <c r="CS2289" s="4"/>
      <c r="CT2289" s="4"/>
      <c r="CU2289" s="4"/>
      <c r="CV2289" s="4"/>
      <c r="CW2289" s="4"/>
      <c r="CX2289" s="4"/>
      <c r="CY2289" s="4"/>
      <c r="CZ2289" s="4"/>
      <c r="DA2289" s="4"/>
      <c r="DB2289" s="4"/>
      <c r="DC2289" s="4"/>
      <c r="DD2289" s="4"/>
      <c r="DE2289" s="4"/>
      <c r="DF2289" s="4"/>
      <c r="DG2289" s="4"/>
      <c r="DH2289" s="4"/>
      <c r="DI2289" s="4"/>
      <c r="DJ2289" s="4"/>
      <c r="DK2289" s="4"/>
      <c r="DL2289" s="4"/>
      <c r="DM2289" s="4"/>
      <c r="DN2289" s="4"/>
      <c r="DO2289" s="4"/>
      <c r="DP2289" s="4"/>
      <c r="DQ2289" s="4"/>
      <c r="DR2289" s="4"/>
      <c r="DS2289" s="4"/>
      <c r="DT2289" s="4"/>
      <c r="DU2289" s="4"/>
      <c r="DV2289" s="4"/>
      <c r="DW2289" s="4"/>
      <c r="DX2289" s="4"/>
      <c r="DY2289" s="4"/>
      <c r="DZ2289" s="4"/>
      <c r="EA2289" s="4"/>
      <c r="EB2289" s="4"/>
      <c r="EC2289" s="4"/>
      <c r="ED2289" s="4"/>
      <c r="EE2289" s="4"/>
      <c r="EF2289" s="4"/>
      <c r="EG2289" s="4"/>
      <c r="EH2289" s="4"/>
      <c r="EI2289" s="4"/>
      <c r="EJ2289" s="4"/>
      <c r="EK2289" s="4"/>
      <c r="EL2289" s="4"/>
      <c r="EM2289" s="4"/>
      <c r="EN2289" s="4"/>
      <c r="EO2289" s="4"/>
      <c r="EP2289" s="4"/>
      <c r="EQ2289" s="4"/>
      <c r="ER2289" s="4"/>
      <c r="ES2289" s="4"/>
      <c r="ET2289" s="4"/>
      <c r="EU2289" s="4"/>
      <c r="EV2289" s="4"/>
      <c r="EW2289" s="4"/>
      <c r="EX2289" s="4"/>
      <c r="EY2289" s="4"/>
      <c r="EZ2289" s="4"/>
      <c r="FA2289" s="4"/>
      <c r="FB2289" s="4"/>
      <c r="FC2289" s="4"/>
      <c r="FD2289" s="4"/>
      <c r="FE2289" s="4"/>
      <c r="FF2289" s="4"/>
      <c r="FG2289" s="4"/>
      <c r="FH2289" s="4"/>
      <c r="FI2289" s="4"/>
      <c r="FJ2289" s="4"/>
      <c r="FK2289" s="4"/>
      <c r="FL2289" s="4"/>
      <c r="FM2289" s="4"/>
      <c r="FN2289" s="4"/>
      <c r="FO2289" s="4"/>
      <c r="FP2289" s="4"/>
      <c r="FQ2289" s="4"/>
      <c r="FR2289" s="4"/>
      <c r="FS2289" s="4"/>
      <c r="FT2289" s="4"/>
      <c r="FU2289" s="4"/>
      <c r="FV2289" s="4"/>
      <c r="FW2289" s="4"/>
      <c r="FX2289" s="4"/>
      <c r="FY2289" s="4"/>
      <c r="FZ2289" s="4"/>
      <c r="GA2289" s="4"/>
      <c r="GB2289" s="4"/>
      <c r="GC2289" s="4"/>
      <c r="GD2289" s="4"/>
      <c r="GE2289" s="4"/>
    </row>
    <row r="2290" spans="1:188" s="57" customFormat="1" ht="16.5" customHeight="1">
      <c r="A2290" s="13">
        <v>28</v>
      </c>
      <c r="B2290" s="92" t="s">
        <v>758</v>
      </c>
      <c r="C2290" s="45"/>
      <c r="D2290" s="44">
        <v>22</v>
      </c>
      <c r="E2290" s="44">
        <v>3</v>
      </c>
      <c r="F2290" s="44"/>
      <c r="G2290" s="44">
        <v>22</v>
      </c>
      <c r="H2290" s="44">
        <v>22</v>
      </c>
      <c r="I2290" s="44">
        <v>22</v>
      </c>
      <c r="J2290" s="44">
        <v>22</v>
      </c>
      <c r="K2290" s="44">
        <v>22</v>
      </c>
      <c r="L2290" s="44">
        <f aca="true" t="shared" si="72" ref="L2290:P2291">L2291</f>
        <v>1</v>
      </c>
      <c r="M2290" s="44" t="str">
        <f t="shared" si="72"/>
        <v> -</v>
      </c>
      <c r="N2290" s="44" t="str">
        <f t="shared" si="72"/>
        <v> -</v>
      </c>
      <c r="O2290" s="44" t="str">
        <f t="shared" si="72"/>
        <v> -</v>
      </c>
      <c r="P2290" s="44" t="str">
        <f t="shared" si="72"/>
        <v> -</v>
      </c>
      <c r="Q2290" s="54" t="s">
        <v>649</v>
      </c>
      <c r="R2290" s="54">
        <v>7</v>
      </c>
      <c r="S2290" s="55" t="s">
        <v>590</v>
      </c>
      <c r="T2290" s="56"/>
      <c r="U2290" s="56"/>
      <c r="V2290" s="56"/>
      <c r="W2290" s="56"/>
      <c r="X2290" s="56"/>
      <c r="Y2290" s="56"/>
      <c r="Z2290" s="56"/>
      <c r="AA2290" s="56"/>
      <c r="AB2290" s="56"/>
      <c r="AC2290" s="56"/>
      <c r="AD2290" s="56"/>
      <c r="AE2290" s="56"/>
      <c r="AF2290" s="56"/>
      <c r="AG2290" s="56"/>
      <c r="AH2290" s="56"/>
      <c r="AI2290" s="56"/>
      <c r="AJ2290" s="56"/>
      <c r="AK2290" s="56"/>
      <c r="AL2290" s="56"/>
      <c r="AM2290" s="56"/>
      <c r="AN2290" s="56"/>
      <c r="AO2290" s="56"/>
      <c r="AP2290" s="56"/>
      <c r="AQ2290" s="56"/>
      <c r="AR2290" s="56"/>
      <c r="AS2290" s="56"/>
      <c r="AT2290" s="56"/>
      <c r="AU2290" s="56"/>
      <c r="AV2290" s="56"/>
      <c r="AW2290" s="56"/>
      <c r="AX2290" s="56"/>
      <c r="AY2290" s="56"/>
      <c r="AZ2290" s="56"/>
      <c r="BA2290" s="56"/>
      <c r="BB2290" s="56"/>
      <c r="BC2290" s="56"/>
      <c r="BD2290" s="56"/>
      <c r="BE2290" s="56"/>
      <c r="BF2290" s="56"/>
      <c r="BG2290" s="56"/>
      <c r="BH2290" s="56"/>
      <c r="BI2290" s="56"/>
      <c r="BJ2290" s="56"/>
      <c r="BK2290" s="56"/>
      <c r="BL2290" s="56"/>
      <c r="BM2290" s="56"/>
      <c r="BN2290" s="56"/>
      <c r="BO2290" s="56"/>
      <c r="BP2290" s="56"/>
      <c r="BQ2290" s="56"/>
      <c r="BR2290" s="56"/>
      <c r="BS2290" s="56"/>
      <c r="BT2290" s="56"/>
      <c r="BU2290" s="56"/>
      <c r="BV2290" s="56"/>
      <c r="BW2290" s="56"/>
      <c r="BX2290" s="56"/>
      <c r="BY2290" s="56"/>
      <c r="BZ2290" s="56"/>
      <c r="CA2290" s="56"/>
      <c r="CB2290" s="56"/>
      <c r="CC2290" s="56"/>
      <c r="CD2290" s="56"/>
      <c r="CE2290" s="56"/>
      <c r="CF2290" s="56"/>
      <c r="CG2290" s="56"/>
      <c r="CH2290" s="56"/>
      <c r="CI2290" s="56"/>
      <c r="CJ2290" s="56"/>
      <c r="CK2290" s="56"/>
      <c r="CL2290" s="56"/>
      <c r="CM2290" s="56"/>
      <c r="CN2290" s="56"/>
      <c r="CO2290" s="56"/>
      <c r="CP2290" s="56"/>
      <c r="CQ2290" s="56"/>
      <c r="CR2290" s="56"/>
      <c r="CS2290" s="56"/>
      <c r="CT2290" s="56"/>
      <c r="CU2290" s="56"/>
      <c r="CV2290" s="56"/>
      <c r="CW2290" s="56"/>
      <c r="CX2290" s="56"/>
      <c r="CY2290" s="56"/>
      <c r="CZ2290" s="56"/>
      <c r="DA2290" s="56"/>
      <c r="DB2290" s="56"/>
      <c r="DC2290" s="56"/>
      <c r="DD2290" s="56"/>
      <c r="DE2290" s="56"/>
      <c r="DF2290" s="56"/>
      <c r="DG2290" s="56"/>
      <c r="DH2290" s="56"/>
      <c r="DI2290" s="56"/>
      <c r="DJ2290" s="56"/>
      <c r="DK2290" s="56"/>
      <c r="DL2290" s="56"/>
      <c r="DM2290" s="56"/>
      <c r="DN2290" s="56"/>
      <c r="DO2290" s="56"/>
      <c r="DP2290" s="56"/>
      <c r="DQ2290" s="56"/>
      <c r="DR2290" s="56"/>
      <c r="DS2290" s="56"/>
      <c r="DT2290" s="56"/>
      <c r="DU2290" s="56"/>
      <c r="DV2290" s="56"/>
      <c r="DW2290" s="56"/>
      <c r="DX2290" s="56"/>
      <c r="DY2290" s="56"/>
      <c r="DZ2290" s="56"/>
      <c r="EA2290" s="56"/>
      <c r="EB2290" s="56"/>
      <c r="EC2290" s="56"/>
      <c r="ED2290" s="56"/>
      <c r="EE2290" s="56"/>
      <c r="EF2290" s="56"/>
      <c r="EG2290" s="56"/>
      <c r="EH2290" s="56"/>
      <c r="EI2290" s="56"/>
      <c r="EJ2290" s="56"/>
      <c r="EK2290" s="56"/>
      <c r="EL2290" s="56"/>
      <c r="EM2290" s="56"/>
      <c r="EN2290" s="56"/>
      <c r="EO2290" s="56"/>
      <c r="EP2290" s="56"/>
      <c r="EQ2290" s="56"/>
      <c r="ER2290" s="56"/>
      <c r="ES2290" s="56"/>
      <c r="ET2290" s="56"/>
      <c r="EU2290" s="56"/>
      <c r="EV2290" s="56"/>
      <c r="EW2290" s="56"/>
      <c r="EX2290" s="56"/>
      <c r="EY2290" s="56"/>
      <c r="EZ2290" s="56"/>
      <c r="FA2290" s="56"/>
      <c r="FB2290" s="56"/>
      <c r="FC2290" s="56"/>
      <c r="FD2290" s="56"/>
      <c r="FE2290" s="56"/>
      <c r="FF2290" s="56"/>
      <c r="FG2290" s="56"/>
      <c r="FH2290" s="56"/>
      <c r="FI2290" s="56"/>
      <c r="FJ2290" s="56"/>
      <c r="FK2290" s="56"/>
      <c r="FL2290" s="56"/>
      <c r="FM2290" s="56"/>
      <c r="FN2290" s="56"/>
      <c r="FO2290" s="56"/>
      <c r="FP2290" s="56"/>
      <c r="FQ2290" s="56"/>
      <c r="FR2290" s="56"/>
      <c r="FS2290" s="56"/>
      <c r="FT2290" s="56"/>
      <c r="FU2290" s="56"/>
      <c r="FV2290" s="56"/>
      <c r="FW2290" s="56"/>
      <c r="FX2290" s="56"/>
      <c r="FY2290" s="56"/>
      <c r="FZ2290" s="56"/>
      <c r="GA2290" s="56"/>
      <c r="GB2290" s="56"/>
      <c r="GC2290" s="56"/>
      <c r="GD2290" s="56"/>
      <c r="GE2290" s="56"/>
      <c r="GF2290" s="56"/>
    </row>
    <row r="2291" spans="1:19" s="47" customFormat="1" ht="16.5" customHeight="1">
      <c r="A2291" s="50"/>
      <c r="B2291" s="93" t="s">
        <v>670</v>
      </c>
      <c r="C2291" s="94"/>
      <c r="D2291" s="60"/>
      <c r="E2291" s="60"/>
      <c r="F2291" s="60"/>
      <c r="G2291" s="60"/>
      <c r="H2291" s="60"/>
      <c r="I2291" s="60"/>
      <c r="J2291" s="60"/>
      <c r="K2291" s="60"/>
      <c r="L2291" s="60">
        <f t="shared" si="72"/>
        <v>1</v>
      </c>
      <c r="M2291" s="60" t="str">
        <f t="shared" si="72"/>
        <v> -</v>
      </c>
      <c r="N2291" s="60" t="str">
        <f t="shared" si="72"/>
        <v> -</v>
      </c>
      <c r="O2291" s="60" t="str">
        <f t="shared" si="72"/>
        <v> -</v>
      </c>
      <c r="P2291" s="60" t="str">
        <f t="shared" si="72"/>
        <v> -</v>
      </c>
      <c r="Q2291" s="95"/>
      <c r="R2291" s="95"/>
      <c r="S2291" s="96"/>
    </row>
    <row r="2292" spans="1:187" s="5" customFormat="1" ht="16.5" customHeight="1">
      <c r="A2292" s="12"/>
      <c r="B2292" s="97" t="s">
        <v>561</v>
      </c>
      <c r="C2292" s="66" t="s">
        <v>804</v>
      </c>
      <c r="D2292" s="40"/>
      <c r="E2292" s="40"/>
      <c r="F2292" s="40"/>
      <c r="G2292" s="40">
        <v>1</v>
      </c>
      <c r="H2292" s="40">
        <v>1</v>
      </c>
      <c r="I2292" s="40">
        <v>1</v>
      </c>
      <c r="J2292" s="40">
        <v>1</v>
      </c>
      <c r="K2292" s="40">
        <v>1</v>
      </c>
      <c r="L2292" s="40">
        <v>1</v>
      </c>
      <c r="M2292" s="40" t="s">
        <v>556</v>
      </c>
      <c r="N2292" s="40" t="s">
        <v>556</v>
      </c>
      <c r="O2292" s="40" t="s">
        <v>556</v>
      </c>
      <c r="P2292" s="40" t="s">
        <v>556</v>
      </c>
      <c r="Q2292" s="22"/>
      <c r="R2292" s="22"/>
      <c r="S2292" s="31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  <c r="AR2292" s="4"/>
      <c r="AS2292" s="4"/>
      <c r="AT2292" s="4"/>
      <c r="AU2292" s="4"/>
      <c r="AV2292" s="4"/>
      <c r="AW2292" s="4"/>
      <c r="AX2292" s="4"/>
      <c r="AY2292" s="4"/>
      <c r="AZ2292" s="4"/>
      <c r="BA2292" s="4"/>
      <c r="BB2292" s="4"/>
      <c r="BC2292" s="4"/>
      <c r="BD2292" s="4"/>
      <c r="BE2292" s="4"/>
      <c r="BF2292" s="4"/>
      <c r="BG2292" s="4"/>
      <c r="BH2292" s="4"/>
      <c r="BI2292" s="4"/>
      <c r="BJ2292" s="4"/>
      <c r="BK2292" s="4"/>
      <c r="BL2292" s="4"/>
      <c r="BM2292" s="4"/>
      <c r="BN2292" s="4"/>
      <c r="BO2292" s="4"/>
      <c r="BP2292" s="4"/>
      <c r="BQ2292" s="4"/>
      <c r="BR2292" s="4"/>
      <c r="BS2292" s="4"/>
      <c r="BT2292" s="4"/>
      <c r="BU2292" s="4"/>
      <c r="BV2292" s="4"/>
      <c r="BW2292" s="4"/>
      <c r="BX2292" s="4"/>
      <c r="BY2292" s="4"/>
      <c r="BZ2292" s="4"/>
      <c r="CA2292" s="4"/>
      <c r="CB2292" s="4"/>
      <c r="CC2292" s="4"/>
      <c r="CD2292" s="4"/>
      <c r="CE2292" s="4"/>
      <c r="CF2292" s="4"/>
      <c r="CG2292" s="4"/>
      <c r="CH2292" s="4"/>
      <c r="CI2292" s="4"/>
      <c r="CJ2292" s="4"/>
      <c r="CK2292" s="4"/>
      <c r="CL2292" s="4"/>
      <c r="CM2292" s="4"/>
      <c r="CN2292" s="4"/>
      <c r="CO2292" s="4"/>
      <c r="CP2292" s="4"/>
      <c r="CQ2292" s="4"/>
      <c r="CR2292" s="4"/>
      <c r="CS2292" s="4"/>
      <c r="CT2292" s="4"/>
      <c r="CU2292" s="4"/>
      <c r="CV2292" s="4"/>
      <c r="CW2292" s="4"/>
      <c r="CX2292" s="4"/>
      <c r="CY2292" s="4"/>
      <c r="CZ2292" s="4"/>
      <c r="DA2292" s="4"/>
      <c r="DB2292" s="4"/>
      <c r="DC2292" s="4"/>
      <c r="DD2292" s="4"/>
      <c r="DE2292" s="4"/>
      <c r="DF2292" s="4"/>
      <c r="DG2292" s="4"/>
      <c r="DH2292" s="4"/>
      <c r="DI2292" s="4"/>
      <c r="DJ2292" s="4"/>
      <c r="DK2292" s="4"/>
      <c r="DL2292" s="4"/>
      <c r="DM2292" s="4"/>
      <c r="DN2292" s="4"/>
      <c r="DO2292" s="4"/>
      <c r="DP2292" s="4"/>
      <c r="DQ2292" s="4"/>
      <c r="DR2292" s="4"/>
      <c r="DS2292" s="4"/>
      <c r="DT2292" s="4"/>
      <c r="DU2292" s="4"/>
      <c r="DV2292" s="4"/>
      <c r="DW2292" s="4"/>
      <c r="DX2292" s="4"/>
      <c r="DY2292" s="4"/>
      <c r="DZ2292" s="4"/>
      <c r="EA2292" s="4"/>
      <c r="EB2292" s="4"/>
      <c r="EC2292" s="4"/>
      <c r="ED2292" s="4"/>
      <c r="EE2292" s="4"/>
      <c r="EF2292" s="4"/>
      <c r="EG2292" s="4"/>
      <c r="EH2292" s="4"/>
      <c r="EI2292" s="4"/>
      <c r="EJ2292" s="4"/>
      <c r="EK2292" s="4"/>
      <c r="EL2292" s="4"/>
      <c r="EM2292" s="4"/>
      <c r="EN2292" s="4"/>
      <c r="EO2292" s="4"/>
      <c r="EP2292" s="4"/>
      <c r="EQ2292" s="4"/>
      <c r="ER2292" s="4"/>
      <c r="ES2292" s="4"/>
      <c r="ET2292" s="4"/>
      <c r="EU2292" s="4"/>
      <c r="EV2292" s="4"/>
      <c r="EW2292" s="4"/>
      <c r="EX2292" s="4"/>
      <c r="EY2292" s="4"/>
      <c r="EZ2292" s="4"/>
      <c r="FA2292" s="4"/>
      <c r="FB2292" s="4"/>
      <c r="FC2292" s="4"/>
      <c r="FD2292" s="4"/>
      <c r="FE2292" s="4"/>
      <c r="FF2292" s="4"/>
      <c r="FG2292" s="4"/>
      <c r="FH2292" s="4"/>
      <c r="FI2292" s="4"/>
      <c r="FJ2292" s="4"/>
      <c r="FK2292" s="4"/>
      <c r="FL2292" s="4"/>
      <c r="FM2292" s="4"/>
      <c r="FN2292" s="4"/>
      <c r="FO2292" s="4"/>
      <c r="FP2292" s="4"/>
      <c r="FQ2292" s="4"/>
      <c r="FR2292" s="4"/>
      <c r="FS2292" s="4"/>
      <c r="FT2292" s="4"/>
      <c r="FU2292" s="4"/>
      <c r="FV2292" s="4"/>
      <c r="FW2292" s="4"/>
      <c r="FX2292" s="4"/>
      <c r="FY2292" s="4"/>
      <c r="FZ2292" s="4"/>
      <c r="GA2292" s="4"/>
      <c r="GB2292" s="4"/>
      <c r="GC2292" s="4"/>
      <c r="GD2292" s="4"/>
      <c r="GE2292" s="4"/>
    </row>
    <row r="2293" spans="1:19" ht="15" customHeight="1">
      <c r="A2293" s="399" t="s">
        <v>661</v>
      </c>
      <c r="B2293" s="399"/>
      <c r="C2293" s="399"/>
      <c r="D2293" s="399"/>
      <c r="E2293" s="399"/>
      <c r="F2293" s="399"/>
      <c r="G2293" s="399"/>
      <c r="H2293" s="399"/>
      <c r="I2293" s="399"/>
      <c r="J2293" s="399"/>
      <c r="K2293" s="399"/>
      <c r="L2293" s="399"/>
      <c r="M2293" s="399"/>
      <c r="N2293" s="399"/>
      <c r="O2293" s="399"/>
      <c r="P2293" s="399"/>
      <c r="Q2293" s="20"/>
      <c r="R2293" s="20"/>
      <c r="S2293" s="7"/>
    </row>
    <row r="2294" spans="1:19" ht="13.5" customHeight="1">
      <c r="A2294" s="400" t="s">
        <v>909</v>
      </c>
      <c r="B2294" s="400"/>
      <c r="C2294" s="400"/>
      <c r="D2294" s="400"/>
      <c r="E2294" s="400"/>
      <c r="F2294" s="400"/>
      <c r="G2294" s="400"/>
      <c r="H2294" s="400"/>
      <c r="I2294" s="400"/>
      <c r="J2294" s="400"/>
      <c r="K2294" s="400"/>
      <c r="L2294" s="400"/>
      <c r="M2294" s="400"/>
      <c r="N2294" s="400"/>
      <c r="O2294" s="400"/>
      <c r="P2294" s="400"/>
      <c r="Q2294" s="21"/>
      <c r="R2294" s="21"/>
      <c r="S2294" s="8"/>
    </row>
    <row r="2295" spans="1:188" s="57" customFormat="1" ht="16.5" customHeight="1">
      <c r="A2295" s="13">
        <v>29</v>
      </c>
      <c r="B2295" s="92" t="s">
        <v>362</v>
      </c>
      <c r="C2295" s="45"/>
      <c r="D2295" s="44">
        <v>74</v>
      </c>
      <c r="E2295" s="44">
        <v>15</v>
      </c>
      <c r="F2295" s="44"/>
      <c r="G2295" s="44">
        <v>77</v>
      </c>
      <c r="H2295" s="44">
        <v>76</v>
      </c>
      <c r="I2295" s="44">
        <v>77</v>
      </c>
      <c r="J2295" s="44">
        <v>76</v>
      </c>
      <c r="K2295" s="44">
        <v>77</v>
      </c>
      <c r="L2295" s="44">
        <v>2</v>
      </c>
      <c r="M2295" s="44">
        <f>M2296</f>
        <v>1</v>
      </c>
      <c r="N2295" s="44">
        <v>2</v>
      </c>
      <c r="O2295" s="44">
        <f>O2296</f>
        <v>1</v>
      </c>
      <c r="P2295" s="44">
        <v>2</v>
      </c>
      <c r="Q2295" s="54" t="s">
        <v>649</v>
      </c>
      <c r="R2295" s="54">
        <v>7</v>
      </c>
      <c r="S2295" s="55" t="s">
        <v>590</v>
      </c>
      <c r="T2295" s="56"/>
      <c r="U2295" s="56"/>
      <c r="V2295" s="56"/>
      <c r="W2295" s="56"/>
      <c r="X2295" s="56"/>
      <c r="Y2295" s="56"/>
      <c r="Z2295" s="56"/>
      <c r="AA2295" s="56"/>
      <c r="AB2295" s="56"/>
      <c r="AC2295" s="56"/>
      <c r="AD2295" s="56"/>
      <c r="AE2295" s="56"/>
      <c r="AF2295" s="56"/>
      <c r="AG2295" s="56"/>
      <c r="AH2295" s="56"/>
      <c r="AI2295" s="56"/>
      <c r="AJ2295" s="56"/>
      <c r="AK2295" s="56"/>
      <c r="AL2295" s="56"/>
      <c r="AM2295" s="56"/>
      <c r="AN2295" s="56"/>
      <c r="AO2295" s="56"/>
      <c r="AP2295" s="56"/>
      <c r="AQ2295" s="56"/>
      <c r="AR2295" s="56"/>
      <c r="AS2295" s="56"/>
      <c r="AT2295" s="56"/>
      <c r="AU2295" s="56"/>
      <c r="AV2295" s="56"/>
      <c r="AW2295" s="56"/>
      <c r="AX2295" s="56"/>
      <c r="AY2295" s="56"/>
      <c r="AZ2295" s="56"/>
      <c r="BA2295" s="56"/>
      <c r="BB2295" s="56"/>
      <c r="BC2295" s="56"/>
      <c r="BD2295" s="56"/>
      <c r="BE2295" s="56"/>
      <c r="BF2295" s="56"/>
      <c r="BG2295" s="56"/>
      <c r="BH2295" s="56"/>
      <c r="BI2295" s="56"/>
      <c r="BJ2295" s="56"/>
      <c r="BK2295" s="56"/>
      <c r="BL2295" s="56"/>
      <c r="BM2295" s="56"/>
      <c r="BN2295" s="56"/>
      <c r="BO2295" s="56"/>
      <c r="BP2295" s="56"/>
      <c r="BQ2295" s="56"/>
      <c r="BR2295" s="56"/>
      <c r="BS2295" s="56"/>
      <c r="BT2295" s="56"/>
      <c r="BU2295" s="56"/>
      <c r="BV2295" s="56"/>
      <c r="BW2295" s="56"/>
      <c r="BX2295" s="56"/>
      <c r="BY2295" s="56"/>
      <c r="BZ2295" s="56"/>
      <c r="CA2295" s="56"/>
      <c r="CB2295" s="56"/>
      <c r="CC2295" s="56"/>
      <c r="CD2295" s="56"/>
      <c r="CE2295" s="56"/>
      <c r="CF2295" s="56"/>
      <c r="CG2295" s="56"/>
      <c r="CH2295" s="56"/>
      <c r="CI2295" s="56"/>
      <c r="CJ2295" s="56"/>
      <c r="CK2295" s="56"/>
      <c r="CL2295" s="56"/>
      <c r="CM2295" s="56"/>
      <c r="CN2295" s="56"/>
      <c r="CO2295" s="56"/>
      <c r="CP2295" s="56"/>
      <c r="CQ2295" s="56"/>
      <c r="CR2295" s="56"/>
      <c r="CS2295" s="56"/>
      <c r="CT2295" s="56"/>
      <c r="CU2295" s="56"/>
      <c r="CV2295" s="56"/>
      <c r="CW2295" s="56"/>
      <c r="CX2295" s="56"/>
      <c r="CY2295" s="56"/>
      <c r="CZ2295" s="56"/>
      <c r="DA2295" s="56"/>
      <c r="DB2295" s="56"/>
      <c r="DC2295" s="56"/>
      <c r="DD2295" s="56"/>
      <c r="DE2295" s="56"/>
      <c r="DF2295" s="56"/>
      <c r="DG2295" s="56"/>
      <c r="DH2295" s="56"/>
      <c r="DI2295" s="56"/>
      <c r="DJ2295" s="56"/>
      <c r="DK2295" s="56"/>
      <c r="DL2295" s="56"/>
      <c r="DM2295" s="56"/>
      <c r="DN2295" s="56"/>
      <c r="DO2295" s="56"/>
      <c r="DP2295" s="56"/>
      <c r="DQ2295" s="56"/>
      <c r="DR2295" s="56"/>
      <c r="DS2295" s="56"/>
      <c r="DT2295" s="56"/>
      <c r="DU2295" s="56"/>
      <c r="DV2295" s="56"/>
      <c r="DW2295" s="56"/>
      <c r="DX2295" s="56"/>
      <c r="DY2295" s="56"/>
      <c r="DZ2295" s="56"/>
      <c r="EA2295" s="56"/>
      <c r="EB2295" s="56"/>
      <c r="EC2295" s="56"/>
      <c r="ED2295" s="56"/>
      <c r="EE2295" s="56"/>
      <c r="EF2295" s="56"/>
      <c r="EG2295" s="56"/>
      <c r="EH2295" s="56"/>
      <c r="EI2295" s="56"/>
      <c r="EJ2295" s="56"/>
      <c r="EK2295" s="56"/>
      <c r="EL2295" s="56"/>
      <c r="EM2295" s="56"/>
      <c r="EN2295" s="56"/>
      <c r="EO2295" s="56"/>
      <c r="EP2295" s="56"/>
      <c r="EQ2295" s="56"/>
      <c r="ER2295" s="56"/>
      <c r="ES2295" s="56"/>
      <c r="ET2295" s="56"/>
      <c r="EU2295" s="56"/>
      <c r="EV2295" s="56"/>
      <c r="EW2295" s="56"/>
      <c r="EX2295" s="56"/>
      <c r="EY2295" s="56"/>
      <c r="EZ2295" s="56"/>
      <c r="FA2295" s="56"/>
      <c r="FB2295" s="56"/>
      <c r="FC2295" s="56"/>
      <c r="FD2295" s="56"/>
      <c r="FE2295" s="56"/>
      <c r="FF2295" s="56"/>
      <c r="FG2295" s="56"/>
      <c r="FH2295" s="56"/>
      <c r="FI2295" s="56"/>
      <c r="FJ2295" s="56"/>
      <c r="FK2295" s="56"/>
      <c r="FL2295" s="56"/>
      <c r="FM2295" s="56"/>
      <c r="FN2295" s="56"/>
      <c r="FO2295" s="56"/>
      <c r="FP2295" s="56"/>
      <c r="FQ2295" s="56"/>
      <c r="FR2295" s="56"/>
      <c r="FS2295" s="56"/>
      <c r="FT2295" s="56"/>
      <c r="FU2295" s="56"/>
      <c r="FV2295" s="56"/>
      <c r="FW2295" s="56"/>
      <c r="FX2295" s="56"/>
      <c r="FY2295" s="56"/>
      <c r="FZ2295" s="56"/>
      <c r="GA2295" s="56"/>
      <c r="GB2295" s="56"/>
      <c r="GC2295" s="56"/>
      <c r="GD2295" s="56"/>
      <c r="GE2295" s="56"/>
      <c r="GF2295" s="56"/>
    </row>
    <row r="2296" spans="1:48" s="18" customFormat="1" ht="16.5" customHeight="1">
      <c r="A2296" s="50"/>
      <c r="B2296" s="93" t="s">
        <v>669</v>
      </c>
      <c r="C2296" s="16"/>
      <c r="D2296" s="52"/>
      <c r="E2296" s="52"/>
      <c r="F2296" s="52"/>
      <c r="G2296" s="52"/>
      <c r="H2296" s="52"/>
      <c r="I2296" s="52"/>
      <c r="J2296" s="52"/>
      <c r="K2296" s="52"/>
      <c r="L2296" s="60">
        <f>SUM(L2297:L2297)</f>
        <v>1</v>
      </c>
      <c r="M2296" s="60">
        <f>SUM(M2297:M2297)</f>
        <v>1</v>
      </c>
      <c r="N2296" s="60">
        <v>1</v>
      </c>
      <c r="O2296" s="60">
        <f>SUM(O2297:O2297)</f>
        <v>1</v>
      </c>
      <c r="P2296" s="60">
        <f>SUM(P2297:P2297)</f>
        <v>1</v>
      </c>
      <c r="Q2296" s="23"/>
      <c r="R2296" s="23"/>
      <c r="S2296" s="17"/>
      <c r="T2296" s="47"/>
      <c r="U2296" s="47"/>
      <c r="V2296" s="47"/>
      <c r="W2296" s="47"/>
      <c r="X2296" s="47"/>
      <c r="Y2296" s="47"/>
      <c r="Z2296" s="47"/>
      <c r="AA2296" s="47"/>
      <c r="AB2296" s="47"/>
      <c r="AC2296" s="47"/>
      <c r="AD2296" s="47"/>
      <c r="AE2296" s="47"/>
      <c r="AF2296" s="47"/>
      <c r="AG2296" s="47"/>
      <c r="AH2296" s="47"/>
      <c r="AI2296" s="47"/>
      <c r="AJ2296" s="47"/>
      <c r="AK2296" s="47"/>
      <c r="AL2296" s="47"/>
      <c r="AM2296" s="47"/>
      <c r="AN2296" s="47"/>
      <c r="AO2296" s="47"/>
      <c r="AP2296" s="47"/>
      <c r="AQ2296" s="47"/>
      <c r="AR2296" s="47"/>
      <c r="AS2296" s="47"/>
      <c r="AT2296" s="47"/>
      <c r="AU2296" s="47"/>
      <c r="AV2296" s="47"/>
    </row>
    <row r="2297" spans="1:48" s="27" customFormat="1" ht="16.5" customHeight="1">
      <c r="A2297" s="12"/>
      <c r="B2297" s="97" t="s">
        <v>555</v>
      </c>
      <c r="C2297" s="15" t="s">
        <v>445</v>
      </c>
      <c r="D2297" s="40"/>
      <c r="E2297" s="40"/>
      <c r="F2297" s="40"/>
      <c r="G2297" s="40">
        <v>39</v>
      </c>
      <c r="H2297" s="40">
        <v>39</v>
      </c>
      <c r="I2297" s="40">
        <v>39</v>
      </c>
      <c r="J2297" s="40">
        <v>39</v>
      </c>
      <c r="K2297" s="40">
        <v>39</v>
      </c>
      <c r="L2297" s="40">
        <v>1</v>
      </c>
      <c r="M2297" s="40">
        <v>1</v>
      </c>
      <c r="N2297" s="40">
        <v>1</v>
      </c>
      <c r="O2297" s="40">
        <v>1</v>
      </c>
      <c r="P2297" s="40">
        <v>1</v>
      </c>
      <c r="Q2297" s="30"/>
      <c r="R2297" s="30"/>
      <c r="S2297" s="30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</row>
    <row r="2298" spans="1:19" s="47" customFormat="1" ht="16.5" customHeight="1">
      <c r="A2298" s="50"/>
      <c r="B2298" s="93" t="s">
        <v>670</v>
      </c>
      <c r="C2298" s="94"/>
      <c r="D2298" s="60"/>
      <c r="E2298" s="60"/>
      <c r="F2298" s="60"/>
      <c r="G2298" s="60"/>
      <c r="H2298" s="60"/>
      <c r="I2298" s="60"/>
      <c r="J2298" s="60"/>
      <c r="K2298" s="60"/>
      <c r="L2298" s="60">
        <f>L2299</f>
        <v>1</v>
      </c>
      <c r="M2298" s="60" t="str">
        <f>M2299</f>
        <v> -</v>
      </c>
      <c r="N2298" s="60">
        <v>1</v>
      </c>
      <c r="O2298" s="60" t="str">
        <f>O2299</f>
        <v> -</v>
      </c>
      <c r="P2298" s="60">
        <f>P2299</f>
        <v>1</v>
      </c>
      <c r="Q2298" s="95"/>
      <c r="R2298" s="95"/>
      <c r="S2298" s="96"/>
    </row>
    <row r="2299" spans="1:187" s="5" customFormat="1" ht="16.5" customHeight="1">
      <c r="A2299" s="12"/>
      <c r="B2299" s="97" t="s">
        <v>561</v>
      </c>
      <c r="C2299" s="66" t="s">
        <v>804</v>
      </c>
      <c r="D2299" s="40"/>
      <c r="E2299" s="40"/>
      <c r="F2299" s="40"/>
      <c r="G2299" s="40">
        <v>4</v>
      </c>
      <c r="H2299" s="40">
        <v>3</v>
      </c>
      <c r="I2299" s="40">
        <v>4</v>
      </c>
      <c r="J2299" s="40">
        <v>3</v>
      </c>
      <c r="K2299" s="40">
        <v>4</v>
      </c>
      <c r="L2299" s="40">
        <v>1</v>
      </c>
      <c r="M2299" s="40" t="s">
        <v>556</v>
      </c>
      <c r="N2299" s="40">
        <v>1</v>
      </c>
      <c r="O2299" s="40" t="s">
        <v>556</v>
      </c>
      <c r="P2299" s="40">
        <v>1</v>
      </c>
      <c r="Q2299" s="22"/>
      <c r="R2299" s="22"/>
      <c r="S2299" s="31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  <c r="AR2299" s="4"/>
      <c r="AS2299" s="4"/>
      <c r="AT2299" s="4"/>
      <c r="AU2299" s="4"/>
      <c r="AV2299" s="4"/>
      <c r="AW2299" s="4"/>
      <c r="AX2299" s="4"/>
      <c r="AY2299" s="4"/>
      <c r="AZ2299" s="4"/>
      <c r="BA2299" s="4"/>
      <c r="BB2299" s="4"/>
      <c r="BC2299" s="4"/>
      <c r="BD2299" s="4"/>
      <c r="BE2299" s="4"/>
      <c r="BF2299" s="4"/>
      <c r="BG2299" s="4"/>
      <c r="BH2299" s="4"/>
      <c r="BI2299" s="4"/>
      <c r="BJ2299" s="4"/>
      <c r="BK2299" s="4"/>
      <c r="BL2299" s="4"/>
      <c r="BM2299" s="4"/>
      <c r="BN2299" s="4"/>
      <c r="BO2299" s="4"/>
      <c r="BP2299" s="4"/>
      <c r="BQ2299" s="4"/>
      <c r="BR2299" s="4"/>
      <c r="BS2299" s="4"/>
      <c r="BT2299" s="4"/>
      <c r="BU2299" s="4"/>
      <c r="BV2299" s="4"/>
      <c r="BW2299" s="4"/>
      <c r="BX2299" s="4"/>
      <c r="BY2299" s="4"/>
      <c r="BZ2299" s="4"/>
      <c r="CA2299" s="4"/>
      <c r="CB2299" s="4"/>
      <c r="CC2299" s="4"/>
      <c r="CD2299" s="4"/>
      <c r="CE2299" s="4"/>
      <c r="CF2299" s="4"/>
      <c r="CG2299" s="4"/>
      <c r="CH2299" s="4"/>
      <c r="CI2299" s="4"/>
      <c r="CJ2299" s="4"/>
      <c r="CK2299" s="4"/>
      <c r="CL2299" s="4"/>
      <c r="CM2299" s="4"/>
      <c r="CN2299" s="4"/>
      <c r="CO2299" s="4"/>
      <c r="CP2299" s="4"/>
      <c r="CQ2299" s="4"/>
      <c r="CR2299" s="4"/>
      <c r="CS2299" s="4"/>
      <c r="CT2299" s="4"/>
      <c r="CU2299" s="4"/>
      <c r="CV2299" s="4"/>
      <c r="CW2299" s="4"/>
      <c r="CX2299" s="4"/>
      <c r="CY2299" s="4"/>
      <c r="CZ2299" s="4"/>
      <c r="DA2299" s="4"/>
      <c r="DB2299" s="4"/>
      <c r="DC2299" s="4"/>
      <c r="DD2299" s="4"/>
      <c r="DE2299" s="4"/>
      <c r="DF2299" s="4"/>
      <c r="DG2299" s="4"/>
      <c r="DH2299" s="4"/>
      <c r="DI2299" s="4"/>
      <c r="DJ2299" s="4"/>
      <c r="DK2299" s="4"/>
      <c r="DL2299" s="4"/>
      <c r="DM2299" s="4"/>
      <c r="DN2299" s="4"/>
      <c r="DO2299" s="4"/>
      <c r="DP2299" s="4"/>
      <c r="DQ2299" s="4"/>
      <c r="DR2299" s="4"/>
      <c r="DS2299" s="4"/>
      <c r="DT2299" s="4"/>
      <c r="DU2299" s="4"/>
      <c r="DV2299" s="4"/>
      <c r="DW2299" s="4"/>
      <c r="DX2299" s="4"/>
      <c r="DY2299" s="4"/>
      <c r="DZ2299" s="4"/>
      <c r="EA2299" s="4"/>
      <c r="EB2299" s="4"/>
      <c r="EC2299" s="4"/>
      <c r="ED2299" s="4"/>
      <c r="EE2299" s="4"/>
      <c r="EF2299" s="4"/>
      <c r="EG2299" s="4"/>
      <c r="EH2299" s="4"/>
      <c r="EI2299" s="4"/>
      <c r="EJ2299" s="4"/>
      <c r="EK2299" s="4"/>
      <c r="EL2299" s="4"/>
      <c r="EM2299" s="4"/>
      <c r="EN2299" s="4"/>
      <c r="EO2299" s="4"/>
      <c r="EP2299" s="4"/>
      <c r="EQ2299" s="4"/>
      <c r="ER2299" s="4"/>
      <c r="ES2299" s="4"/>
      <c r="ET2299" s="4"/>
      <c r="EU2299" s="4"/>
      <c r="EV2299" s="4"/>
      <c r="EW2299" s="4"/>
      <c r="EX2299" s="4"/>
      <c r="EY2299" s="4"/>
      <c r="EZ2299" s="4"/>
      <c r="FA2299" s="4"/>
      <c r="FB2299" s="4"/>
      <c r="FC2299" s="4"/>
      <c r="FD2299" s="4"/>
      <c r="FE2299" s="4"/>
      <c r="FF2299" s="4"/>
      <c r="FG2299" s="4"/>
      <c r="FH2299" s="4"/>
      <c r="FI2299" s="4"/>
      <c r="FJ2299" s="4"/>
      <c r="FK2299" s="4"/>
      <c r="FL2299" s="4"/>
      <c r="FM2299" s="4"/>
      <c r="FN2299" s="4"/>
      <c r="FO2299" s="4"/>
      <c r="FP2299" s="4"/>
      <c r="FQ2299" s="4"/>
      <c r="FR2299" s="4"/>
      <c r="FS2299" s="4"/>
      <c r="FT2299" s="4"/>
      <c r="FU2299" s="4"/>
      <c r="FV2299" s="4"/>
      <c r="FW2299" s="4"/>
      <c r="FX2299" s="4"/>
      <c r="FY2299" s="4"/>
      <c r="FZ2299" s="4"/>
      <c r="GA2299" s="4"/>
      <c r="GB2299" s="4"/>
      <c r="GC2299" s="4"/>
      <c r="GD2299" s="4"/>
      <c r="GE2299" s="4"/>
    </row>
    <row r="2300" spans="1:188" s="57" customFormat="1" ht="16.5" customHeight="1">
      <c r="A2300" s="13">
        <v>30</v>
      </c>
      <c r="B2300" s="92" t="s">
        <v>8</v>
      </c>
      <c r="C2300" s="45"/>
      <c r="D2300" s="44">
        <v>46</v>
      </c>
      <c r="E2300" s="44">
        <v>12</v>
      </c>
      <c r="F2300" s="44"/>
      <c r="G2300" s="44">
        <v>48</v>
      </c>
      <c r="H2300" s="44">
        <v>50</v>
      </c>
      <c r="I2300" s="44">
        <v>50</v>
      </c>
      <c r="J2300" s="44">
        <v>50</v>
      </c>
      <c r="K2300" s="44">
        <v>50</v>
      </c>
      <c r="L2300" s="44">
        <f>L2301</f>
        <v>6</v>
      </c>
      <c r="M2300" s="44">
        <f>M2301</f>
        <v>7</v>
      </c>
      <c r="N2300" s="44">
        <f>N2301</f>
        <v>1</v>
      </c>
      <c r="O2300" s="44">
        <v>2</v>
      </c>
      <c r="P2300" s="44">
        <f>P2301</f>
        <v>1</v>
      </c>
      <c r="Q2300" s="54" t="s">
        <v>649</v>
      </c>
      <c r="R2300" s="54">
        <v>7</v>
      </c>
      <c r="S2300" s="55" t="s">
        <v>590</v>
      </c>
      <c r="T2300" s="56"/>
      <c r="U2300" s="56"/>
      <c r="V2300" s="56"/>
      <c r="W2300" s="56"/>
      <c r="X2300" s="56"/>
      <c r="Y2300" s="56"/>
      <c r="Z2300" s="56"/>
      <c r="AA2300" s="56"/>
      <c r="AB2300" s="56"/>
      <c r="AC2300" s="56"/>
      <c r="AD2300" s="56"/>
      <c r="AE2300" s="56"/>
      <c r="AF2300" s="56"/>
      <c r="AG2300" s="56"/>
      <c r="AH2300" s="56"/>
      <c r="AI2300" s="56"/>
      <c r="AJ2300" s="56"/>
      <c r="AK2300" s="56"/>
      <c r="AL2300" s="56"/>
      <c r="AM2300" s="56"/>
      <c r="AN2300" s="56"/>
      <c r="AO2300" s="56"/>
      <c r="AP2300" s="56"/>
      <c r="AQ2300" s="56"/>
      <c r="AR2300" s="56"/>
      <c r="AS2300" s="56"/>
      <c r="AT2300" s="56"/>
      <c r="AU2300" s="56"/>
      <c r="AV2300" s="56"/>
      <c r="AW2300" s="56"/>
      <c r="AX2300" s="56"/>
      <c r="AY2300" s="56"/>
      <c r="AZ2300" s="56"/>
      <c r="BA2300" s="56"/>
      <c r="BB2300" s="56"/>
      <c r="BC2300" s="56"/>
      <c r="BD2300" s="56"/>
      <c r="BE2300" s="56"/>
      <c r="BF2300" s="56"/>
      <c r="BG2300" s="56"/>
      <c r="BH2300" s="56"/>
      <c r="BI2300" s="56"/>
      <c r="BJ2300" s="56"/>
      <c r="BK2300" s="56"/>
      <c r="BL2300" s="56"/>
      <c r="BM2300" s="56"/>
      <c r="BN2300" s="56"/>
      <c r="BO2300" s="56"/>
      <c r="BP2300" s="56"/>
      <c r="BQ2300" s="56"/>
      <c r="BR2300" s="56"/>
      <c r="BS2300" s="56"/>
      <c r="BT2300" s="56"/>
      <c r="BU2300" s="56"/>
      <c r="BV2300" s="56"/>
      <c r="BW2300" s="56"/>
      <c r="BX2300" s="56"/>
      <c r="BY2300" s="56"/>
      <c r="BZ2300" s="56"/>
      <c r="CA2300" s="56"/>
      <c r="CB2300" s="56"/>
      <c r="CC2300" s="56"/>
      <c r="CD2300" s="56"/>
      <c r="CE2300" s="56"/>
      <c r="CF2300" s="56"/>
      <c r="CG2300" s="56"/>
      <c r="CH2300" s="56"/>
      <c r="CI2300" s="56"/>
      <c r="CJ2300" s="56"/>
      <c r="CK2300" s="56"/>
      <c r="CL2300" s="56"/>
      <c r="CM2300" s="56"/>
      <c r="CN2300" s="56"/>
      <c r="CO2300" s="56"/>
      <c r="CP2300" s="56"/>
      <c r="CQ2300" s="56"/>
      <c r="CR2300" s="56"/>
      <c r="CS2300" s="56"/>
      <c r="CT2300" s="56"/>
      <c r="CU2300" s="56"/>
      <c r="CV2300" s="56"/>
      <c r="CW2300" s="56"/>
      <c r="CX2300" s="56"/>
      <c r="CY2300" s="56"/>
      <c r="CZ2300" s="56"/>
      <c r="DA2300" s="56"/>
      <c r="DB2300" s="56"/>
      <c r="DC2300" s="56"/>
      <c r="DD2300" s="56"/>
      <c r="DE2300" s="56"/>
      <c r="DF2300" s="56"/>
      <c r="DG2300" s="56"/>
      <c r="DH2300" s="56"/>
      <c r="DI2300" s="56"/>
      <c r="DJ2300" s="56"/>
      <c r="DK2300" s="56"/>
      <c r="DL2300" s="56"/>
      <c r="DM2300" s="56"/>
      <c r="DN2300" s="56"/>
      <c r="DO2300" s="56"/>
      <c r="DP2300" s="56"/>
      <c r="DQ2300" s="56"/>
      <c r="DR2300" s="56"/>
      <c r="DS2300" s="56"/>
      <c r="DT2300" s="56"/>
      <c r="DU2300" s="56"/>
      <c r="DV2300" s="56"/>
      <c r="DW2300" s="56"/>
      <c r="DX2300" s="56"/>
      <c r="DY2300" s="56"/>
      <c r="DZ2300" s="56"/>
      <c r="EA2300" s="56"/>
      <c r="EB2300" s="56"/>
      <c r="EC2300" s="56"/>
      <c r="ED2300" s="56"/>
      <c r="EE2300" s="56"/>
      <c r="EF2300" s="56"/>
      <c r="EG2300" s="56"/>
      <c r="EH2300" s="56"/>
      <c r="EI2300" s="56"/>
      <c r="EJ2300" s="56"/>
      <c r="EK2300" s="56"/>
      <c r="EL2300" s="56"/>
      <c r="EM2300" s="56"/>
      <c r="EN2300" s="56"/>
      <c r="EO2300" s="56"/>
      <c r="EP2300" s="56"/>
      <c r="EQ2300" s="56"/>
      <c r="ER2300" s="56"/>
      <c r="ES2300" s="56"/>
      <c r="ET2300" s="56"/>
      <c r="EU2300" s="56"/>
      <c r="EV2300" s="56"/>
      <c r="EW2300" s="56"/>
      <c r="EX2300" s="56"/>
      <c r="EY2300" s="56"/>
      <c r="EZ2300" s="56"/>
      <c r="FA2300" s="56"/>
      <c r="FB2300" s="56"/>
      <c r="FC2300" s="56"/>
      <c r="FD2300" s="56"/>
      <c r="FE2300" s="56"/>
      <c r="FF2300" s="56"/>
      <c r="FG2300" s="56"/>
      <c r="FH2300" s="56"/>
      <c r="FI2300" s="56"/>
      <c r="FJ2300" s="56"/>
      <c r="FK2300" s="56"/>
      <c r="FL2300" s="56"/>
      <c r="FM2300" s="56"/>
      <c r="FN2300" s="56"/>
      <c r="FO2300" s="56"/>
      <c r="FP2300" s="56"/>
      <c r="FQ2300" s="56"/>
      <c r="FR2300" s="56"/>
      <c r="FS2300" s="56"/>
      <c r="FT2300" s="56"/>
      <c r="FU2300" s="56"/>
      <c r="FV2300" s="56"/>
      <c r="FW2300" s="56"/>
      <c r="FX2300" s="56"/>
      <c r="FY2300" s="56"/>
      <c r="FZ2300" s="56"/>
      <c r="GA2300" s="56"/>
      <c r="GB2300" s="56"/>
      <c r="GC2300" s="56"/>
      <c r="GD2300" s="56"/>
      <c r="GE2300" s="56"/>
      <c r="GF2300" s="56"/>
    </row>
    <row r="2301" spans="1:48" s="18" customFormat="1" ht="16.5" customHeight="1">
      <c r="A2301" s="50"/>
      <c r="B2301" s="93" t="s">
        <v>669</v>
      </c>
      <c r="C2301" s="16"/>
      <c r="D2301" s="52"/>
      <c r="E2301" s="52"/>
      <c r="F2301" s="52"/>
      <c r="G2301" s="52"/>
      <c r="H2301" s="52"/>
      <c r="I2301" s="52"/>
      <c r="J2301" s="52"/>
      <c r="K2301" s="52"/>
      <c r="L2301" s="60">
        <f>SUM(L2302:L2303)</f>
        <v>6</v>
      </c>
      <c r="M2301" s="60">
        <f>SUM(M2302:M2303)</f>
        <v>7</v>
      </c>
      <c r="N2301" s="60">
        <f>SUM(N2302:N2303)</f>
        <v>1</v>
      </c>
      <c r="O2301" s="60" t="s">
        <v>556</v>
      </c>
      <c r="P2301" s="60">
        <f>SUM(P2302:P2303)</f>
        <v>1</v>
      </c>
      <c r="Q2301" s="23"/>
      <c r="R2301" s="23"/>
      <c r="S2301" s="17"/>
      <c r="T2301" s="47"/>
      <c r="U2301" s="47"/>
      <c r="V2301" s="47"/>
      <c r="W2301" s="47"/>
      <c r="X2301" s="47"/>
      <c r="Y2301" s="47"/>
      <c r="Z2301" s="47"/>
      <c r="AA2301" s="47"/>
      <c r="AB2301" s="47"/>
      <c r="AC2301" s="47"/>
      <c r="AD2301" s="47"/>
      <c r="AE2301" s="47"/>
      <c r="AF2301" s="47"/>
      <c r="AG2301" s="47"/>
      <c r="AH2301" s="47"/>
      <c r="AI2301" s="47"/>
      <c r="AJ2301" s="47"/>
      <c r="AK2301" s="47"/>
      <c r="AL2301" s="47"/>
      <c r="AM2301" s="47"/>
      <c r="AN2301" s="47"/>
      <c r="AO2301" s="47"/>
      <c r="AP2301" s="47"/>
      <c r="AQ2301" s="47"/>
      <c r="AR2301" s="47"/>
      <c r="AS2301" s="47"/>
      <c r="AT2301" s="47"/>
      <c r="AU2301" s="47"/>
      <c r="AV2301" s="47"/>
    </row>
    <row r="2302" spans="1:48" s="27" customFormat="1" ht="16.5" customHeight="1">
      <c r="A2302" s="12"/>
      <c r="B2302" s="97" t="s">
        <v>411</v>
      </c>
      <c r="C2302" s="29" t="s">
        <v>412</v>
      </c>
      <c r="D2302" s="40"/>
      <c r="E2302" s="40"/>
      <c r="F2302" s="40"/>
      <c r="G2302" s="40">
        <v>3</v>
      </c>
      <c r="H2302" s="40">
        <v>3</v>
      </c>
      <c r="I2302" s="40">
        <v>3</v>
      </c>
      <c r="J2302" s="40">
        <v>3</v>
      </c>
      <c r="K2302" s="40">
        <v>3</v>
      </c>
      <c r="L2302" s="40">
        <v>1</v>
      </c>
      <c r="M2302" s="40" t="s">
        <v>556</v>
      </c>
      <c r="N2302" s="40" t="s">
        <v>556</v>
      </c>
      <c r="O2302" s="40" t="s">
        <v>556</v>
      </c>
      <c r="P2302" s="40" t="s">
        <v>556</v>
      </c>
      <c r="Q2302" s="30"/>
      <c r="R2302" s="30"/>
      <c r="S2302" s="30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</row>
    <row r="2303" spans="1:48" s="27" customFormat="1" ht="16.5" customHeight="1">
      <c r="A2303" s="12"/>
      <c r="B2303" s="97" t="s">
        <v>555</v>
      </c>
      <c r="C2303" s="15" t="s">
        <v>445</v>
      </c>
      <c r="D2303" s="40"/>
      <c r="E2303" s="40"/>
      <c r="F2303" s="40"/>
      <c r="G2303" s="40">
        <v>32</v>
      </c>
      <c r="H2303" s="40">
        <v>34</v>
      </c>
      <c r="I2303" s="40">
        <v>34</v>
      </c>
      <c r="J2303" s="40">
        <v>34</v>
      </c>
      <c r="K2303" s="40">
        <v>34</v>
      </c>
      <c r="L2303" s="40">
        <v>5</v>
      </c>
      <c r="M2303" s="40">
        <v>7</v>
      </c>
      <c r="N2303" s="40">
        <v>1</v>
      </c>
      <c r="O2303" s="40" t="s">
        <v>556</v>
      </c>
      <c r="P2303" s="40">
        <v>1</v>
      </c>
      <c r="Q2303" s="30"/>
      <c r="R2303" s="30"/>
      <c r="S2303" s="30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</row>
    <row r="2304" spans="1:19" s="47" customFormat="1" ht="16.5" customHeight="1">
      <c r="A2304" s="50"/>
      <c r="B2304" s="93" t="s">
        <v>670</v>
      </c>
      <c r="C2304" s="94"/>
      <c r="D2304" s="60"/>
      <c r="E2304" s="60"/>
      <c r="F2304" s="60"/>
      <c r="G2304" s="60"/>
      <c r="H2304" s="60"/>
      <c r="I2304" s="60"/>
      <c r="J2304" s="60"/>
      <c r="K2304" s="60"/>
      <c r="L2304" s="60" t="str">
        <f>L2305</f>
        <v> -</v>
      </c>
      <c r="M2304" s="60" t="str">
        <f>M2305</f>
        <v> -</v>
      </c>
      <c r="N2304" s="60" t="str">
        <f>N2305</f>
        <v> -</v>
      </c>
      <c r="O2304" s="60">
        <f>O2305</f>
        <v>2</v>
      </c>
      <c r="P2304" s="60" t="str">
        <f>P2305</f>
        <v> -</v>
      </c>
      <c r="Q2304" s="95"/>
      <c r="R2304" s="95"/>
      <c r="S2304" s="96"/>
    </row>
    <row r="2305" spans="1:187" s="5" customFormat="1" ht="16.5" customHeight="1">
      <c r="A2305" s="12"/>
      <c r="B2305" s="106" t="s">
        <v>40</v>
      </c>
      <c r="C2305" s="66" t="s">
        <v>39</v>
      </c>
      <c r="D2305" s="40"/>
      <c r="E2305" s="40"/>
      <c r="F2305" s="40"/>
      <c r="G2305" s="40">
        <v>2</v>
      </c>
      <c r="H2305" s="40">
        <v>2</v>
      </c>
      <c r="I2305" s="40">
        <v>2</v>
      </c>
      <c r="J2305" s="40">
        <v>2</v>
      </c>
      <c r="K2305" s="40">
        <v>2</v>
      </c>
      <c r="L2305" s="40" t="s">
        <v>556</v>
      </c>
      <c r="M2305" s="40" t="s">
        <v>556</v>
      </c>
      <c r="N2305" s="40" t="s">
        <v>556</v>
      </c>
      <c r="O2305" s="40">
        <v>2</v>
      </c>
      <c r="P2305" s="40" t="s">
        <v>556</v>
      </c>
      <c r="Q2305" s="22"/>
      <c r="R2305" s="22"/>
      <c r="S2305" s="31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  <c r="AR2305" s="4"/>
      <c r="AS2305" s="4"/>
      <c r="AT2305" s="4"/>
      <c r="AU2305" s="4"/>
      <c r="AV2305" s="4"/>
      <c r="AW2305" s="4"/>
      <c r="AX2305" s="4"/>
      <c r="AY2305" s="4"/>
      <c r="AZ2305" s="4"/>
      <c r="BA2305" s="4"/>
      <c r="BB2305" s="4"/>
      <c r="BC2305" s="4"/>
      <c r="BD2305" s="4"/>
      <c r="BE2305" s="4"/>
      <c r="BF2305" s="4"/>
      <c r="BG2305" s="4"/>
      <c r="BH2305" s="4"/>
      <c r="BI2305" s="4"/>
      <c r="BJ2305" s="4"/>
      <c r="BK2305" s="4"/>
      <c r="BL2305" s="4"/>
      <c r="BM2305" s="4"/>
      <c r="BN2305" s="4"/>
      <c r="BO2305" s="4"/>
      <c r="BP2305" s="4"/>
      <c r="BQ2305" s="4"/>
      <c r="BR2305" s="4"/>
      <c r="BS2305" s="4"/>
      <c r="BT2305" s="4"/>
      <c r="BU2305" s="4"/>
      <c r="BV2305" s="4"/>
      <c r="BW2305" s="4"/>
      <c r="BX2305" s="4"/>
      <c r="BY2305" s="4"/>
      <c r="BZ2305" s="4"/>
      <c r="CA2305" s="4"/>
      <c r="CB2305" s="4"/>
      <c r="CC2305" s="4"/>
      <c r="CD2305" s="4"/>
      <c r="CE2305" s="4"/>
      <c r="CF2305" s="4"/>
      <c r="CG2305" s="4"/>
      <c r="CH2305" s="4"/>
      <c r="CI2305" s="4"/>
      <c r="CJ2305" s="4"/>
      <c r="CK2305" s="4"/>
      <c r="CL2305" s="4"/>
      <c r="CM2305" s="4"/>
      <c r="CN2305" s="4"/>
      <c r="CO2305" s="4"/>
      <c r="CP2305" s="4"/>
      <c r="CQ2305" s="4"/>
      <c r="CR2305" s="4"/>
      <c r="CS2305" s="4"/>
      <c r="CT2305" s="4"/>
      <c r="CU2305" s="4"/>
      <c r="CV2305" s="4"/>
      <c r="CW2305" s="4"/>
      <c r="CX2305" s="4"/>
      <c r="CY2305" s="4"/>
      <c r="CZ2305" s="4"/>
      <c r="DA2305" s="4"/>
      <c r="DB2305" s="4"/>
      <c r="DC2305" s="4"/>
      <c r="DD2305" s="4"/>
      <c r="DE2305" s="4"/>
      <c r="DF2305" s="4"/>
      <c r="DG2305" s="4"/>
      <c r="DH2305" s="4"/>
      <c r="DI2305" s="4"/>
      <c r="DJ2305" s="4"/>
      <c r="DK2305" s="4"/>
      <c r="DL2305" s="4"/>
      <c r="DM2305" s="4"/>
      <c r="DN2305" s="4"/>
      <c r="DO2305" s="4"/>
      <c r="DP2305" s="4"/>
      <c r="DQ2305" s="4"/>
      <c r="DR2305" s="4"/>
      <c r="DS2305" s="4"/>
      <c r="DT2305" s="4"/>
      <c r="DU2305" s="4"/>
      <c r="DV2305" s="4"/>
      <c r="DW2305" s="4"/>
      <c r="DX2305" s="4"/>
      <c r="DY2305" s="4"/>
      <c r="DZ2305" s="4"/>
      <c r="EA2305" s="4"/>
      <c r="EB2305" s="4"/>
      <c r="EC2305" s="4"/>
      <c r="ED2305" s="4"/>
      <c r="EE2305" s="4"/>
      <c r="EF2305" s="4"/>
      <c r="EG2305" s="4"/>
      <c r="EH2305" s="4"/>
      <c r="EI2305" s="4"/>
      <c r="EJ2305" s="4"/>
      <c r="EK2305" s="4"/>
      <c r="EL2305" s="4"/>
      <c r="EM2305" s="4"/>
      <c r="EN2305" s="4"/>
      <c r="EO2305" s="4"/>
      <c r="EP2305" s="4"/>
      <c r="EQ2305" s="4"/>
      <c r="ER2305" s="4"/>
      <c r="ES2305" s="4"/>
      <c r="ET2305" s="4"/>
      <c r="EU2305" s="4"/>
      <c r="EV2305" s="4"/>
      <c r="EW2305" s="4"/>
      <c r="EX2305" s="4"/>
      <c r="EY2305" s="4"/>
      <c r="EZ2305" s="4"/>
      <c r="FA2305" s="4"/>
      <c r="FB2305" s="4"/>
      <c r="FC2305" s="4"/>
      <c r="FD2305" s="4"/>
      <c r="FE2305" s="4"/>
      <c r="FF2305" s="4"/>
      <c r="FG2305" s="4"/>
      <c r="FH2305" s="4"/>
      <c r="FI2305" s="4"/>
      <c r="FJ2305" s="4"/>
      <c r="FK2305" s="4"/>
      <c r="FL2305" s="4"/>
      <c r="FM2305" s="4"/>
      <c r="FN2305" s="4"/>
      <c r="FO2305" s="4"/>
      <c r="FP2305" s="4"/>
      <c r="FQ2305" s="4"/>
      <c r="FR2305" s="4"/>
      <c r="FS2305" s="4"/>
      <c r="FT2305" s="4"/>
      <c r="FU2305" s="4"/>
      <c r="FV2305" s="4"/>
      <c r="FW2305" s="4"/>
      <c r="FX2305" s="4"/>
      <c r="FY2305" s="4"/>
      <c r="FZ2305" s="4"/>
      <c r="GA2305" s="4"/>
      <c r="GB2305" s="4"/>
      <c r="GC2305" s="4"/>
      <c r="GD2305" s="4"/>
      <c r="GE2305" s="4"/>
    </row>
    <row r="2306" spans="1:19" ht="15" customHeight="1">
      <c r="A2306" s="399" t="s">
        <v>660</v>
      </c>
      <c r="B2306" s="399"/>
      <c r="C2306" s="399"/>
      <c r="D2306" s="399"/>
      <c r="E2306" s="399"/>
      <c r="F2306" s="399"/>
      <c r="G2306" s="399"/>
      <c r="H2306" s="399"/>
      <c r="I2306" s="399"/>
      <c r="J2306" s="399"/>
      <c r="K2306" s="399"/>
      <c r="L2306" s="399"/>
      <c r="M2306" s="399"/>
      <c r="N2306" s="399"/>
      <c r="O2306" s="399"/>
      <c r="P2306" s="399"/>
      <c r="Q2306" s="20"/>
      <c r="R2306" s="20"/>
      <c r="S2306" s="7"/>
    </row>
    <row r="2307" spans="1:19" ht="13.5" customHeight="1">
      <c r="A2307" s="400" t="s">
        <v>909</v>
      </c>
      <c r="B2307" s="400"/>
      <c r="C2307" s="400"/>
      <c r="D2307" s="400"/>
      <c r="E2307" s="400"/>
      <c r="F2307" s="400"/>
      <c r="G2307" s="400"/>
      <c r="H2307" s="400"/>
      <c r="I2307" s="400"/>
      <c r="J2307" s="400"/>
      <c r="K2307" s="400"/>
      <c r="L2307" s="400"/>
      <c r="M2307" s="400"/>
      <c r="N2307" s="400"/>
      <c r="O2307" s="400"/>
      <c r="P2307" s="400"/>
      <c r="Q2307" s="21"/>
      <c r="R2307" s="21"/>
      <c r="S2307" s="8"/>
    </row>
    <row r="2308" spans="1:188" s="57" customFormat="1" ht="18" customHeight="1">
      <c r="A2308" s="13">
        <v>31</v>
      </c>
      <c r="B2308" s="92" t="s">
        <v>363</v>
      </c>
      <c r="C2308" s="45"/>
      <c r="D2308" s="44">
        <v>77</v>
      </c>
      <c r="E2308" s="44">
        <v>13</v>
      </c>
      <c r="F2308" s="44">
        <v>47</v>
      </c>
      <c r="G2308" s="44">
        <v>47</v>
      </c>
      <c r="H2308" s="44">
        <v>46</v>
      </c>
      <c r="I2308" s="44">
        <v>45</v>
      </c>
      <c r="J2308" s="44"/>
      <c r="K2308" s="44">
        <v>45</v>
      </c>
      <c r="L2308" s="44">
        <f>SUM(L2309,L2314,L2317)</f>
        <v>14</v>
      </c>
      <c r="M2308" s="44">
        <f>SUM(M2309,M2314,M2317)</f>
        <v>6</v>
      </c>
      <c r="N2308" s="44">
        <f>SUM(N2309,N2314,N2317)</f>
        <v>3</v>
      </c>
      <c r="O2308" s="44">
        <f>SUM(O2309,O2314,O2317)</f>
        <v>8</v>
      </c>
      <c r="P2308" s="44">
        <f>SUM(P2309,P2314,P2317)</f>
        <v>11</v>
      </c>
      <c r="Q2308" s="54" t="s">
        <v>649</v>
      </c>
      <c r="R2308" s="54">
        <v>7</v>
      </c>
      <c r="S2308" s="55" t="s">
        <v>590</v>
      </c>
      <c r="T2308" s="56"/>
      <c r="U2308" s="56"/>
      <c r="V2308" s="56"/>
      <c r="W2308" s="56"/>
      <c r="X2308" s="56"/>
      <c r="Y2308" s="56"/>
      <c r="Z2308" s="56"/>
      <c r="AA2308" s="56"/>
      <c r="AB2308" s="56"/>
      <c r="AC2308" s="56"/>
      <c r="AD2308" s="56"/>
      <c r="AE2308" s="56"/>
      <c r="AF2308" s="56"/>
      <c r="AG2308" s="56"/>
      <c r="AH2308" s="56"/>
      <c r="AI2308" s="56"/>
      <c r="AJ2308" s="56"/>
      <c r="AK2308" s="56"/>
      <c r="AL2308" s="56"/>
      <c r="AM2308" s="56"/>
      <c r="AN2308" s="56"/>
      <c r="AO2308" s="56"/>
      <c r="AP2308" s="56"/>
      <c r="AQ2308" s="56"/>
      <c r="AR2308" s="56"/>
      <c r="AS2308" s="56"/>
      <c r="AT2308" s="56"/>
      <c r="AU2308" s="56"/>
      <c r="AV2308" s="56"/>
      <c r="AW2308" s="56"/>
      <c r="AX2308" s="56"/>
      <c r="AY2308" s="56"/>
      <c r="AZ2308" s="56"/>
      <c r="BA2308" s="56"/>
      <c r="BB2308" s="56"/>
      <c r="BC2308" s="56"/>
      <c r="BD2308" s="56"/>
      <c r="BE2308" s="56"/>
      <c r="BF2308" s="56"/>
      <c r="BG2308" s="56"/>
      <c r="BH2308" s="56"/>
      <c r="BI2308" s="56"/>
      <c r="BJ2308" s="56"/>
      <c r="BK2308" s="56"/>
      <c r="BL2308" s="56"/>
      <c r="BM2308" s="56"/>
      <c r="BN2308" s="56"/>
      <c r="BO2308" s="56"/>
      <c r="BP2308" s="56"/>
      <c r="BQ2308" s="56"/>
      <c r="BR2308" s="56"/>
      <c r="BS2308" s="56"/>
      <c r="BT2308" s="56"/>
      <c r="BU2308" s="56"/>
      <c r="BV2308" s="56"/>
      <c r="BW2308" s="56"/>
      <c r="BX2308" s="56"/>
      <c r="BY2308" s="56"/>
      <c r="BZ2308" s="56"/>
      <c r="CA2308" s="56"/>
      <c r="CB2308" s="56"/>
      <c r="CC2308" s="56"/>
      <c r="CD2308" s="56"/>
      <c r="CE2308" s="56"/>
      <c r="CF2308" s="56"/>
      <c r="CG2308" s="56"/>
      <c r="CH2308" s="56"/>
      <c r="CI2308" s="56"/>
      <c r="CJ2308" s="56"/>
      <c r="CK2308" s="56"/>
      <c r="CL2308" s="56"/>
      <c r="CM2308" s="56"/>
      <c r="CN2308" s="56"/>
      <c r="CO2308" s="56"/>
      <c r="CP2308" s="56"/>
      <c r="CQ2308" s="56"/>
      <c r="CR2308" s="56"/>
      <c r="CS2308" s="56"/>
      <c r="CT2308" s="56"/>
      <c r="CU2308" s="56"/>
      <c r="CV2308" s="56"/>
      <c r="CW2308" s="56"/>
      <c r="CX2308" s="56"/>
      <c r="CY2308" s="56"/>
      <c r="CZ2308" s="56"/>
      <c r="DA2308" s="56"/>
      <c r="DB2308" s="56"/>
      <c r="DC2308" s="56"/>
      <c r="DD2308" s="56"/>
      <c r="DE2308" s="56"/>
      <c r="DF2308" s="56"/>
      <c r="DG2308" s="56"/>
      <c r="DH2308" s="56"/>
      <c r="DI2308" s="56"/>
      <c r="DJ2308" s="56"/>
      <c r="DK2308" s="56"/>
      <c r="DL2308" s="56"/>
      <c r="DM2308" s="56"/>
      <c r="DN2308" s="56"/>
      <c r="DO2308" s="56"/>
      <c r="DP2308" s="56"/>
      <c r="DQ2308" s="56"/>
      <c r="DR2308" s="56"/>
      <c r="DS2308" s="56"/>
      <c r="DT2308" s="56"/>
      <c r="DU2308" s="56"/>
      <c r="DV2308" s="56"/>
      <c r="DW2308" s="56"/>
      <c r="DX2308" s="56"/>
      <c r="DY2308" s="56"/>
      <c r="DZ2308" s="56"/>
      <c r="EA2308" s="56"/>
      <c r="EB2308" s="56"/>
      <c r="EC2308" s="56"/>
      <c r="ED2308" s="56"/>
      <c r="EE2308" s="56"/>
      <c r="EF2308" s="56"/>
      <c r="EG2308" s="56"/>
      <c r="EH2308" s="56"/>
      <c r="EI2308" s="56"/>
      <c r="EJ2308" s="56"/>
      <c r="EK2308" s="56"/>
      <c r="EL2308" s="56"/>
      <c r="EM2308" s="56"/>
      <c r="EN2308" s="56"/>
      <c r="EO2308" s="56"/>
      <c r="EP2308" s="56"/>
      <c r="EQ2308" s="56"/>
      <c r="ER2308" s="56"/>
      <c r="ES2308" s="56"/>
      <c r="ET2308" s="56"/>
      <c r="EU2308" s="56"/>
      <c r="EV2308" s="56"/>
      <c r="EW2308" s="56"/>
      <c r="EX2308" s="56"/>
      <c r="EY2308" s="56"/>
      <c r="EZ2308" s="56"/>
      <c r="FA2308" s="56"/>
      <c r="FB2308" s="56"/>
      <c r="FC2308" s="56"/>
      <c r="FD2308" s="56"/>
      <c r="FE2308" s="56"/>
      <c r="FF2308" s="56"/>
      <c r="FG2308" s="56"/>
      <c r="FH2308" s="56"/>
      <c r="FI2308" s="56"/>
      <c r="FJ2308" s="56"/>
      <c r="FK2308" s="56"/>
      <c r="FL2308" s="56"/>
      <c r="FM2308" s="56"/>
      <c r="FN2308" s="56"/>
      <c r="FO2308" s="56"/>
      <c r="FP2308" s="56"/>
      <c r="FQ2308" s="56"/>
      <c r="FR2308" s="56"/>
      <c r="FS2308" s="56"/>
      <c r="FT2308" s="56"/>
      <c r="FU2308" s="56"/>
      <c r="FV2308" s="56"/>
      <c r="FW2308" s="56"/>
      <c r="FX2308" s="56"/>
      <c r="FY2308" s="56"/>
      <c r="FZ2308" s="56"/>
      <c r="GA2308" s="56"/>
      <c r="GB2308" s="56"/>
      <c r="GC2308" s="56"/>
      <c r="GD2308" s="56"/>
      <c r="GE2308" s="56"/>
      <c r="GF2308" s="56"/>
    </row>
    <row r="2309" spans="1:48" s="18" customFormat="1" ht="18" customHeight="1">
      <c r="A2309" s="50"/>
      <c r="B2309" s="93" t="s">
        <v>669</v>
      </c>
      <c r="C2309" s="16"/>
      <c r="D2309" s="52"/>
      <c r="E2309" s="52"/>
      <c r="F2309" s="52"/>
      <c r="G2309" s="52"/>
      <c r="H2309" s="52"/>
      <c r="I2309" s="52"/>
      <c r="J2309" s="52"/>
      <c r="K2309" s="52"/>
      <c r="L2309" s="60">
        <f>SUM(L2310:L2313)</f>
        <v>8</v>
      </c>
      <c r="M2309" s="60">
        <f>SUM(M2310:M2313)</f>
        <v>6</v>
      </c>
      <c r="N2309" s="60">
        <f>SUM(N2310:N2313)</f>
        <v>3</v>
      </c>
      <c r="O2309" s="60">
        <f>SUM(O2310:O2313)</f>
        <v>6</v>
      </c>
      <c r="P2309" s="60">
        <f>SUM(P2310:P2313)</f>
        <v>7</v>
      </c>
      <c r="Q2309" s="23"/>
      <c r="R2309" s="23"/>
      <c r="S2309" s="17"/>
      <c r="T2309" s="47"/>
      <c r="U2309" s="47"/>
      <c r="V2309" s="47"/>
      <c r="W2309" s="47"/>
      <c r="X2309" s="47"/>
      <c r="Y2309" s="47"/>
      <c r="Z2309" s="47"/>
      <c r="AA2309" s="47"/>
      <c r="AB2309" s="47"/>
      <c r="AC2309" s="47"/>
      <c r="AD2309" s="47"/>
      <c r="AE2309" s="47"/>
      <c r="AF2309" s="47"/>
      <c r="AG2309" s="47"/>
      <c r="AH2309" s="47"/>
      <c r="AI2309" s="47"/>
      <c r="AJ2309" s="47"/>
      <c r="AK2309" s="47"/>
      <c r="AL2309" s="47"/>
      <c r="AM2309" s="47"/>
      <c r="AN2309" s="47"/>
      <c r="AO2309" s="47"/>
      <c r="AP2309" s="47"/>
      <c r="AQ2309" s="47"/>
      <c r="AR2309" s="47"/>
      <c r="AS2309" s="47"/>
      <c r="AT2309" s="47"/>
      <c r="AU2309" s="47"/>
      <c r="AV2309" s="47"/>
    </row>
    <row r="2310" spans="1:48" s="27" customFormat="1" ht="18.75" customHeight="1">
      <c r="A2310" s="12"/>
      <c r="B2310" s="97" t="s">
        <v>1316</v>
      </c>
      <c r="C2310" s="29" t="s">
        <v>1317</v>
      </c>
      <c r="D2310" s="40"/>
      <c r="E2310" s="40"/>
      <c r="F2310" s="40">
        <v>1</v>
      </c>
      <c r="G2310" s="40">
        <v>1</v>
      </c>
      <c r="H2310" s="40">
        <v>1</v>
      </c>
      <c r="I2310" s="40">
        <v>1</v>
      </c>
      <c r="J2310" s="40"/>
      <c r="K2310" s="40">
        <v>1</v>
      </c>
      <c r="L2310" s="40">
        <v>1</v>
      </c>
      <c r="M2310" s="40" t="s">
        <v>556</v>
      </c>
      <c r="N2310" s="40" t="s">
        <v>556</v>
      </c>
      <c r="O2310" s="40" t="s">
        <v>556</v>
      </c>
      <c r="P2310" s="40" t="s">
        <v>556</v>
      </c>
      <c r="Q2310" s="30"/>
      <c r="R2310" s="30"/>
      <c r="S2310" s="30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</row>
    <row r="2311" spans="1:48" s="27" customFormat="1" ht="18.75" customHeight="1">
      <c r="A2311" s="12"/>
      <c r="B2311" s="97" t="s">
        <v>411</v>
      </c>
      <c r="C2311" s="29" t="s">
        <v>412</v>
      </c>
      <c r="D2311" s="40"/>
      <c r="E2311" s="40"/>
      <c r="F2311" s="40"/>
      <c r="G2311" s="40"/>
      <c r="H2311" s="40"/>
      <c r="I2311" s="40"/>
      <c r="J2311" s="40"/>
      <c r="K2311" s="40"/>
      <c r="L2311" s="40" t="s">
        <v>556</v>
      </c>
      <c r="M2311" s="40">
        <v>1</v>
      </c>
      <c r="N2311" s="40" t="s">
        <v>556</v>
      </c>
      <c r="O2311" s="40">
        <v>1</v>
      </c>
      <c r="P2311" s="40">
        <v>1</v>
      </c>
      <c r="Q2311" s="30"/>
      <c r="R2311" s="30"/>
      <c r="S2311" s="30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</row>
    <row r="2312" spans="1:48" s="27" customFormat="1" ht="18.75" customHeight="1">
      <c r="A2312" s="12"/>
      <c r="B2312" s="97" t="s">
        <v>568</v>
      </c>
      <c r="C2312" s="29" t="s">
        <v>569</v>
      </c>
      <c r="D2312" s="40"/>
      <c r="E2312" s="40"/>
      <c r="F2312" s="40"/>
      <c r="G2312" s="40"/>
      <c r="H2312" s="40"/>
      <c r="I2312" s="40"/>
      <c r="J2312" s="40"/>
      <c r="K2312" s="40"/>
      <c r="L2312" s="40" t="s">
        <v>556</v>
      </c>
      <c r="M2312" s="40">
        <v>1</v>
      </c>
      <c r="N2312" s="40" t="s">
        <v>556</v>
      </c>
      <c r="O2312" s="40">
        <v>1</v>
      </c>
      <c r="P2312" s="40">
        <v>1</v>
      </c>
      <c r="Q2312" s="30"/>
      <c r="R2312" s="30"/>
      <c r="S2312" s="30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</row>
    <row r="2313" spans="1:48" s="27" customFormat="1" ht="18.75" customHeight="1">
      <c r="A2313" s="12"/>
      <c r="B2313" s="97" t="s">
        <v>555</v>
      </c>
      <c r="C2313" s="29" t="s">
        <v>445</v>
      </c>
      <c r="D2313" s="40"/>
      <c r="E2313" s="40"/>
      <c r="F2313" s="40">
        <v>37</v>
      </c>
      <c r="G2313" s="40">
        <v>37</v>
      </c>
      <c r="H2313" s="40">
        <v>37</v>
      </c>
      <c r="I2313" s="40">
        <v>37</v>
      </c>
      <c r="J2313" s="40"/>
      <c r="K2313" s="40">
        <v>37</v>
      </c>
      <c r="L2313" s="40">
        <v>7</v>
      </c>
      <c r="M2313" s="40">
        <v>4</v>
      </c>
      <c r="N2313" s="40">
        <v>3</v>
      </c>
      <c r="O2313" s="40">
        <v>4</v>
      </c>
      <c r="P2313" s="40">
        <v>5</v>
      </c>
      <c r="Q2313" s="30"/>
      <c r="R2313" s="30"/>
      <c r="S2313" s="30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</row>
    <row r="2314" spans="1:48" s="18" customFormat="1" ht="18" customHeight="1">
      <c r="A2314" s="50"/>
      <c r="B2314" s="93" t="s">
        <v>670</v>
      </c>
      <c r="C2314" s="16"/>
      <c r="D2314" s="52"/>
      <c r="E2314" s="52"/>
      <c r="F2314" s="52"/>
      <c r="G2314" s="52"/>
      <c r="H2314" s="52"/>
      <c r="I2314" s="52"/>
      <c r="J2314" s="52"/>
      <c r="K2314" s="52"/>
      <c r="L2314" s="60">
        <v>5</v>
      </c>
      <c r="M2314" s="60" t="str">
        <f>M2315</f>
        <v> -</v>
      </c>
      <c r="N2314" s="60" t="s">
        <v>556</v>
      </c>
      <c r="O2314" s="60">
        <v>2</v>
      </c>
      <c r="P2314" s="60">
        <v>4</v>
      </c>
      <c r="Q2314" s="23"/>
      <c r="R2314" s="23"/>
      <c r="S2314" s="17"/>
      <c r="T2314" s="47"/>
      <c r="U2314" s="47"/>
      <c r="V2314" s="47"/>
      <c r="W2314" s="47"/>
      <c r="X2314" s="47"/>
      <c r="Y2314" s="47"/>
      <c r="Z2314" s="47"/>
      <c r="AA2314" s="47"/>
      <c r="AB2314" s="47"/>
      <c r="AC2314" s="47"/>
      <c r="AD2314" s="47"/>
      <c r="AE2314" s="47"/>
      <c r="AF2314" s="47"/>
      <c r="AG2314" s="47"/>
      <c r="AH2314" s="47"/>
      <c r="AI2314" s="47"/>
      <c r="AJ2314" s="47"/>
      <c r="AK2314" s="47"/>
      <c r="AL2314" s="47"/>
      <c r="AM2314" s="47"/>
      <c r="AN2314" s="47"/>
      <c r="AO2314" s="47"/>
      <c r="AP2314" s="47"/>
      <c r="AQ2314" s="47"/>
      <c r="AR2314" s="47"/>
      <c r="AS2314" s="47"/>
      <c r="AT2314" s="47"/>
      <c r="AU2314" s="47"/>
      <c r="AV2314" s="47"/>
    </row>
    <row r="2315" spans="1:187" s="5" customFormat="1" ht="18" customHeight="1">
      <c r="A2315" s="12"/>
      <c r="B2315" s="111" t="s">
        <v>561</v>
      </c>
      <c r="C2315" s="15" t="s">
        <v>1053</v>
      </c>
      <c r="D2315" s="40"/>
      <c r="E2315" s="40"/>
      <c r="F2315" s="40">
        <v>4</v>
      </c>
      <c r="G2315" s="40">
        <v>4</v>
      </c>
      <c r="H2315" s="40">
        <v>4</v>
      </c>
      <c r="I2315" s="40">
        <v>4</v>
      </c>
      <c r="J2315" s="40"/>
      <c r="K2315" s="40">
        <v>4</v>
      </c>
      <c r="L2315" s="40">
        <v>2</v>
      </c>
      <c r="M2315" s="40" t="s">
        <v>556</v>
      </c>
      <c r="N2315" s="40" t="s">
        <v>556</v>
      </c>
      <c r="O2315" s="40" t="s">
        <v>556</v>
      </c>
      <c r="P2315" s="40">
        <v>2</v>
      </c>
      <c r="Q2315" s="22"/>
      <c r="R2315" s="22"/>
      <c r="S2315" s="31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  <c r="AR2315" s="4"/>
      <c r="AS2315" s="4"/>
      <c r="AT2315" s="4"/>
      <c r="AU2315" s="4"/>
      <c r="AV2315" s="4"/>
      <c r="AW2315" s="4"/>
      <c r="AX2315" s="4"/>
      <c r="AY2315" s="4"/>
      <c r="AZ2315" s="4"/>
      <c r="BA2315" s="4"/>
      <c r="BB2315" s="4"/>
      <c r="BC2315" s="4"/>
      <c r="BD2315" s="4"/>
      <c r="BE2315" s="4"/>
      <c r="BF2315" s="4"/>
      <c r="BG2315" s="4"/>
      <c r="BH2315" s="4"/>
      <c r="BI2315" s="4"/>
      <c r="BJ2315" s="4"/>
      <c r="BK2315" s="4"/>
      <c r="BL2315" s="4"/>
      <c r="BM2315" s="4"/>
      <c r="BN2315" s="4"/>
      <c r="BO2315" s="4"/>
      <c r="BP2315" s="4"/>
      <c r="BQ2315" s="4"/>
      <c r="BR2315" s="4"/>
      <c r="BS2315" s="4"/>
      <c r="BT2315" s="4"/>
      <c r="BU2315" s="4"/>
      <c r="BV2315" s="4"/>
      <c r="BW2315" s="4"/>
      <c r="BX2315" s="4"/>
      <c r="BY2315" s="4"/>
      <c r="BZ2315" s="4"/>
      <c r="CA2315" s="4"/>
      <c r="CB2315" s="4"/>
      <c r="CC2315" s="4"/>
      <c r="CD2315" s="4"/>
      <c r="CE2315" s="4"/>
      <c r="CF2315" s="4"/>
      <c r="CG2315" s="4"/>
      <c r="CH2315" s="4"/>
      <c r="CI2315" s="4"/>
      <c r="CJ2315" s="4"/>
      <c r="CK2315" s="4"/>
      <c r="CL2315" s="4"/>
      <c r="CM2315" s="4"/>
      <c r="CN2315" s="4"/>
      <c r="CO2315" s="4"/>
      <c r="CP2315" s="4"/>
      <c r="CQ2315" s="4"/>
      <c r="CR2315" s="4"/>
      <c r="CS2315" s="4"/>
      <c r="CT2315" s="4"/>
      <c r="CU2315" s="4"/>
      <c r="CV2315" s="4"/>
      <c r="CW2315" s="4"/>
      <c r="CX2315" s="4"/>
      <c r="CY2315" s="4"/>
      <c r="CZ2315" s="4"/>
      <c r="DA2315" s="4"/>
      <c r="DB2315" s="4"/>
      <c r="DC2315" s="4"/>
      <c r="DD2315" s="4"/>
      <c r="DE2315" s="4"/>
      <c r="DF2315" s="4"/>
      <c r="DG2315" s="4"/>
      <c r="DH2315" s="4"/>
      <c r="DI2315" s="4"/>
      <c r="DJ2315" s="4"/>
      <c r="DK2315" s="4"/>
      <c r="DL2315" s="4"/>
      <c r="DM2315" s="4"/>
      <c r="DN2315" s="4"/>
      <c r="DO2315" s="4"/>
      <c r="DP2315" s="4"/>
      <c r="DQ2315" s="4"/>
      <c r="DR2315" s="4"/>
      <c r="DS2315" s="4"/>
      <c r="DT2315" s="4"/>
      <c r="DU2315" s="4"/>
      <c r="DV2315" s="4"/>
      <c r="DW2315" s="4"/>
      <c r="DX2315" s="4"/>
      <c r="DY2315" s="4"/>
      <c r="DZ2315" s="4"/>
      <c r="EA2315" s="4"/>
      <c r="EB2315" s="4"/>
      <c r="EC2315" s="4"/>
      <c r="ED2315" s="4"/>
      <c r="EE2315" s="4"/>
      <c r="EF2315" s="4"/>
      <c r="EG2315" s="4"/>
      <c r="EH2315" s="4"/>
      <c r="EI2315" s="4"/>
      <c r="EJ2315" s="4"/>
      <c r="EK2315" s="4"/>
      <c r="EL2315" s="4"/>
      <c r="EM2315" s="4"/>
      <c r="EN2315" s="4"/>
      <c r="EO2315" s="4"/>
      <c r="EP2315" s="4"/>
      <c r="EQ2315" s="4"/>
      <c r="ER2315" s="4"/>
      <c r="ES2315" s="4"/>
      <c r="ET2315" s="4"/>
      <c r="EU2315" s="4"/>
      <c r="EV2315" s="4"/>
      <c r="EW2315" s="4"/>
      <c r="EX2315" s="4"/>
      <c r="EY2315" s="4"/>
      <c r="EZ2315" s="4"/>
      <c r="FA2315" s="4"/>
      <c r="FB2315" s="4"/>
      <c r="FC2315" s="4"/>
      <c r="FD2315" s="4"/>
      <c r="FE2315" s="4"/>
      <c r="FF2315" s="4"/>
      <c r="FG2315" s="4"/>
      <c r="FH2315" s="4"/>
      <c r="FI2315" s="4"/>
      <c r="FJ2315" s="4"/>
      <c r="FK2315" s="4"/>
      <c r="FL2315" s="4"/>
      <c r="FM2315" s="4"/>
      <c r="FN2315" s="4"/>
      <c r="FO2315" s="4"/>
      <c r="FP2315" s="4"/>
      <c r="FQ2315" s="4"/>
      <c r="FR2315" s="4"/>
      <c r="FS2315" s="4"/>
      <c r="FT2315" s="4"/>
      <c r="FU2315" s="4"/>
      <c r="FV2315" s="4"/>
      <c r="FW2315" s="4"/>
      <c r="FX2315" s="4"/>
      <c r="FY2315" s="4"/>
      <c r="FZ2315" s="4"/>
      <c r="GA2315" s="4"/>
      <c r="GB2315" s="4"/>
      <c r="GC2315" s="4"/>
      <c r="GD2315" s="4"/>
      <c r="GE2315" s="4"/>
    </row>
    <row r="2316" spans="1:187" s="5" customFormat="1" ht="18" customHeight="1">
      <c r="A2316" s="12"/>
      <c r="B2316" s="97" t="s">
        <v>566</v>
      </c>
      <c r="C2316" s="15" t="s">
        <v>567</v>
      </c>
      <c r="D2316" s="40"/>
      <c r="E2316" s="40"/>
      <c r="F2316" s="40"/>
      <c r="G2316" s="40"/>
      <c r="H2316" s="40"/>
      <c r="I2316" s="40"/>
      <c r="J2316" s="40"/>
      <c r="K2316" s="40"/>
      <c r="L2316" s="40">
        <v>3</v>
      </c>
      <c r="M2316" s="40" t="s">
        <v>556</v>
      </c>
      <c r="N2316" s="40" t="s">
        <v>556</v>
      </c>
      <c r="O2316" s="40">
        <v>2</v>
      </c>
      <c r="P2316" s="40">
        <v>2</v>
      </c>
      <c r="Q2316" s="68"/>
      <c r="R2316" s="68"/>
      <c r="S2316" s="118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  <c r="AR2316" s="4"/>
      <c r="AS2316" s="4"/>
      <c r="AT2316" s="4"/>
      <c r="AU2316" s="4"/>
      <c r="AV2316" s="4"/>
      <c r="AW2316" s="4"/>
      <c r="AX2316" s="4"/>
      <c r="AY2316" s="4"/>
      <c r="AZ2316" s="4"/>
      <c r="BA2316" s="4"/>
      <c r="BB2316" s="4"/>
      <c r="BC2316" s="4"/>
      <c r="BD2316" s="4"/>
      <c r="BE2316" s="4"/>
      <c r="BF2316" s="4"/>
      <c r="BG2316" s="4"/>
      <c r="BH2316" s="4"/>
      <c r="BI2316" s="4"/>
      <c r="BJ2316" s="4"/>
      <c r="BK2316" s="4"/>
      <c r="BL2316" s="4"/>
      <c r="BM2316" s="4"/>
      <c r="BN2316" s="4"/>
      <c r="BO2316" s="4"/>
      <c r="BP2316" s="4"/>
      <c r="BQ2316" s="4"/>
      <c r="BR2316" s="4"/>
      <c r="BS2316" s="4"/>
      <c r="BT2316" s="4"/>
      <c r="BU2316" s="4"/>
      <c r="BV2316" s="4"/>
      <c r="BW2316" s="4"/>
      <c r="BX2316" s="4"/>
      <c r="BY2316" s="4"/>
      <c r="BZ2316" s="4"/>
      <c r="CA2316" s="4"/>
      <c r="CB2316" s="4"/>
      <c r="CC2316" s="4"/>
      <c r="CD2316" s="4"/>
      <c r="CE2316" s="4"/>
      <c r="CF2316" s="4"/>
      <c r="CG2316" s="4"/>
      <c r="CH2316" s="4"/>
      <c r="CI2316" s="4"/>
      <c r="CJ2316" s="4"/>
      <c r="CK2316" s="4"/>
      <c r="CL2316" s="4"/>
      <c r="CM2316" s="4"/>
      <c r="CN2316" s="4"/>
      <c r="CO2316" s="4"/>
      <c r="CP2316" s="4"/>
      <c r="CQ2316" s="4"/>
      <c r="CR2316" s="4"/>
      <c r="CS2316" s="4"/>
      <c r="CT2316" s="4"/>
      <c r="CU2316" s="4"/>
      <c r="CV2316" s="4"/>
      <c r="CW2316" s="4"/>
      <c r="CX2316" s="4"/>
      <c r="CY2316" s="4"/>
      <c r="CZ2316" s="4"/>
      <c r="DA2316" s="4"/>
      <c r="DB2316" s="4"/>
      <c r="DC2316" s="4"/>
      <c r="DD2316" s="4"/>
      <c r="DE2316" s="4"/>
      <c r="DF2316" s="4"/>
      <c r="DG2316" s="4"/>
      <c r="DH2316" s="4"/>
      <c r="DI2316" s="4"/>
      <c r="DJ2316" s="4"/>
      <c r="DK2316" s="4"/>
      <c r="DL2316" s="4"/>
      <c r="DM2316" s="4"/>
      <c r="DN2316" s="4"/>
      <c r="DO2316" s="4"/>
      <c r="DP2316" s="4"/>
      <c r="DQ2316" s="4"/>
      <c r="DR2316" s="4"/>
      <c r="DS2316" s="4"/>
      <c r="DT2316" s="4"/>
      <c r="DU2316" s="4"/>
      <c r="DV2316" s="4"/>
      <c r="DW2316" s="4"/>
      <c r="DX2316" s="4"/>
      <c r="DY2316" s="4"/>
      <c r="DZ2316" s="4"/>
      <c r="EA2316" s="4"/>
      <c r="EB2316" s="4"/>
      <c r="EC2316" s="4"/>
      <c r="ED2316" s="4"/>
      <c r="EE2316" s="4"/>
      <c r="EF2316" s="4"/>
      <c r="EG2316" s="4"/>
      <c r="EH2316" s="4"/>
      <c r="EI2316" s="4"/>
      <c r="EJ2316" s="4"/>
      <c r="EK2316" s="4"/>
      <c r="EL2316" s="4"/>
      <c r="EM2316" s="4"/>
      <c r="EN2316" s="4"/>
      <c r="EO2316" s="4"/>
      <c r="EP2316" s="4"/>
      <c r="EQ2316" s="4"/>
      <c r="ER2316" s="4"/>
      <c r="ES2316" s="4"/>
      <c r="ET2316" s="4"/>
      <c r="EU2316" s="4"/>
      <c r="EV2316" s="4"/>
      <c r="EW2316" s="4"/>
      <c r="EX2316" s="4"/>
      <c r="EY2316" s="4"/>
      <c r="EZ2316" s="4"/>
      <c r="FA2316" s="4"/>
      <c r="FB2316" s="4"/>
      <c r="FC2316" s="4"/>
      <c r="FD2316" s="4"/>
      <c r="FE2316" s="4"/>
      <c r="FF2316" s="4"/>
      <c r="FG2316" s="4"/>
      <c r="FH2316" s="4"/>
      <c r="FI2316" s="4"/>
      <c r="FJ2316" s="4"/>
      <c r="FK2316" s="4"/>
      <c r="FL2316" s="4"/>
      <c r="FM2316" s="4"/>
      <c r="FN2316" s="4"/>
      <c r="FO2316" s="4"/>
      <c r="FP2316" s="4"/>
      <c r="FQ2316" s="4"/>
      <c r="FR2316" s="4"/>
      <c r="FS2316" s="4"/>
      <c r="FT2316" s="4"/>
      <c r="FU2316" s="4"/>
      <c r="FV2316" s="4"/>
      <c r="FW2316" s="4"/>
      <c r="FX2316" s="4"/>
      <c r="FY2316" s="4"/>
      <c r="FZ2316" s="4"/>
      <c r="GA2316" s="4"/>
      <c r="GB2316" s="4"/>
      <c r="GC2316" s="4"/>
      <c r="GD2316" s="4"/>
      <c r="GE2316" s="4"/>
    </row>
    <row r="2317" spans="1:48" s="18" customFormat="1" ht="15.75" customHeight="1">
      <c r="A2317" s="50"/>
      <c r="B2317" s="93" t="s">
        <v>37</v>
      </c>
      <c r="C2317" s="16"/>
      <c r="D2317" s="52"/>
      <c r="E2317" s="52"/>
      <c r="F2317" s="52"/>
      <c r="G2317" s="52"/>
      <c r="H2317" s="52"/>
      <c r="I2317" s="52"/>
      <c r="J2317" s="52"/>
      <c r="K2317" s="52"/>
      <c r="L2317" s="60">
        <f>L2318</f>
        <v>1</v>
      </c>
      <c r="M2317" s="60" t="str">
        <f>M2318</f>
        <v> -</v>
      </c>
      <c r="N2317" s="60" t="s">
        <v>556</v>
      </c>
      <c r="O2317" s="60" t="s">
        <v>556</v>
      </c>
      <c r="P2317" s="60" t="s">
        <v>556</v>
      </c>
      <c r="Q2317" s="23"/>
      <c r="R2317" s="23"/>
      <c r="S2317" s="17"/>
      <c r="T2317" s="47"/>
      <c r="U2317" s="47"/>
      <c r="V2317" s="47"/>
      <c r="W2317" s="47"/>
      <c r="X2317" s="47"/>
      <c r="Y2317" s="47"/>
      <c r="Z2317" s="47"/>
      <c r="AA2317" s="47"/>
      <c r="AB2317" s="47"/>
      <c r="AC2317" s="47"/>
      <c r="AD2317" s="47"/>
      <c r="AE2317" s="47"/>
      <c r="AF2317" s="47"/>
      <c r="AG2317" s="47"/>
      <c r="AH2317" s="47"/>
      <c r="AI2317" s="47"/>
      <c r="AJ2317" s="47"/>
      <c r="AK2317" s="47"/>
      <c r="AL2317" s="47"/>
      <c r="AM2317" s="47"/>
      <c r="AN2317" s="47"/>
      <c r="AO2317" s="47"/>
      <c r="AP2317" s="47"/>
      <c r="AQ2317" s="47"/>
      <c r="AR2317" s="47"/>
      <c r="AS2317" s="47"/>
      <c r="AT2317" s="47"/>
      <c r="AU2317" s="47"/>
      <c r="AV2317" s="47"/>
    </row>
    <row r="2318" spans="1:187" s="5" customFormat="1" ht="31.5" customHeight="1">
      <c r="A2318" s="12"/>
      <c r="B2318" s="106" t="s">
        <v>106</v>
      </c>
      <c r="C2318" s="15" t="s">
        <v>107</v>
      </c>
      <c r="D2318" s="40"/>
      <c r="E2318" s="40"/>
      <c r="F2318" s="40"/>
      <c r="G2318" s="40">
        <v>2</v>
      </c>
      <c r="H2318" s="40">
        <v>2</v>
      </c>
      <c r="I2318" s="40">
        <v>2</v>
      </c>
      <c r="J2318" s="40">
        <v>2</v>
      </c>
      <c r="K2318" s="40">
        <v>2</v>
      </c>
      <c r="L2318" s="40">
        <v>1</v>
      </c>
      <c r="M2318" s="40" t="s">
        <v>556</v>
      </c>
      <c r="N2318" s="40" t="s">
        <v>556</v>
      </c>
      <c r="O2318" s="40" t="s">
        <v>556</v>
      </c>
      <c r="P2318" s="40">
        <v>1</v>
      </c>
      <c r="Q2318" s="22"/>
      <c r="R2318" s="22"/>
      <c r="S2318" s="31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  <c r="AR2318" s="4"/>
      <c r="AS2318" s="4"/>
      <c r="AT2318" s="4"/>
      <c r="AU2318" s="4"/>
      <c r="AV2318" s="4"/>
      <c r="AW2318" s="4"/>
      <c r="AX2318" s="4"/>
      <c r="AY2318" s="4"/>
      <c r="AZ2318" s="4"/>
      <c r="BA2318" s="4"/>
      <c r="BB2318" s="4"/>
      <c r="BC2318" s="4"/>
      <c r="BD2318" s="4"/>
      <c r="BE2318" s="4"/>
      <c r="BF2318" s="4"/>
      <c r="BG2318" s="4"/>
      <c r="BH2318" s="4"/>
      <c r="BI2318" s="4"/>
      <c r="BJ2318" s="4"/>
      <c r="BK2318" s="4"/>
      <c r="BL2318" s="4"/>
      <c r="BM2318" s="4"/>
      <c r="BN2318" s="4"/>
      <c r="BO2318" s="4"/>
      <c r="BP2318" s="4"/>
      <c r="BQ2318" s="4"/>
      <c r="BR2318" s="4"/>
      <c r="BS2318" s="4"/>
      <c r="BT2318" s="4"/>
      <c r="BU2318" s="4"/>
      <c r="BV2318" s="4"/>
      <c r="BW2318" s="4"/>
      <c r="BX2318" s="4"/>
      <c r="BY2318" s="4"/>
      <c r="BZ2318" s="4"/>
      <c r="CA2318" s="4"/>
      <c r="CB2318" s="4"/>
      <c r="CC2318" s="4"/>
      <c r="CD2318" s="4"/>
      <c r="CE2318" s="4"/>
      <c r="CF2318" s="4"/>
      <c r="CG2318" s="4"/>
      <c r="CH2318" s="4"/>
      <c r="CI2318" s="4"/>
      <c r="CJ2318" s="4"/>
      <c r="CK2318" s="4"/>
      <c r="CL2318" s="4"/>
      <c r="CM2318" s="4"/>
      <c r="CN2318" s="4"/>
      <c r="CO2318" s="4"/>
      <c r="CP2318" s="4"/>
      <c r="CQ2318" s="4"/>
      <c r="CR2318" s="4"/>
      <c r="CS2318" s="4"/>
      <c r="CT2318" s="4"/>
      <c r="CU2318" s="4"/>
      <c r="CV2318" s="4"/>
      <c r="CW2318" s="4"/>
      <c r="CX2318" s="4"/>
      <c r="CY2318" s="4"/>
      <c r="CZ2318" s="4"/>
      <c r="DA2318" s="4"/>
      <c r="DB2318" s="4"/>
      <c r="DC2318" s="4"/>
      <c r="DD2318" s="4"/>
      <c r="DE2318" s="4"/>
      <c r="DF2318" s="4"/>
      <c r="DG2318" s="4"/>
      <c r="DH2318" s="4"/>
      <c r="DI2318" s="4"/>
      <c r="DJ2318" s="4"/>
      <c r="DK2318" s="4"/>
      <c r="DL2318" s="4"/>
      <c r="DM2318" s="4"/>
      <c r="DN2318" s="4"/>
      <c r="DO2318" s="4"/>
      <c r="DP2318" s="4"/>
      <c r="DQ2318" s="4"/>
      <c r="DR2318" s="4"/>
      <c r="DS2318" s="4"/>
      <c r="DT2318" s="4"/>
      <c r="DU2318" s="4"/>
      <c r="DV2318" s="4"/>
      <c r="DW2318" s="4"/>
      <c r="DX2318" s="4"/>
      <c r="DY2318" s="4"/>
      <c r="DZ2318" s="4"/>
      <c r="EA2318" s="4"/>
      <c r="EB2318" s="4"/>
      <c r="EC2318" s="4"/>
      <c r="ED2318" s="4"/>
      <c r="EE2318" s="4"/>
      <c r="EF2318" s="4"/>
      <c r="EG2318" s="4"/>
      <c r="EH2318" s="4"/>
      <c r="EI2318" s="4"/>
      <c r="EJ2318" s="4"/>
      <c r="EK2318" s="4"/>
      <c r="EL2318" s="4"/>
      <c r="EM2318" s="4"/>
      <c r="EN2318" s="4"/>
      <c r="EO2318" s="4"/>
      <c r="EP2318" s="4"/>
      <c r="EQ2318" s="4"/>
      <c r="ER2318" s="4"/>
      <c r="ES2318" s="4"/>
      <c r="ET2318" s="4"/>
      <c r="EU2318" s="4"/>
      <c r="EV2318" s="4"/>
      <c r="EW2318" s="4"/>
      <c r="EX2318" s="4"/>
      <c r="EY2318" s="4"/>
      <c r="EZ2318" s="4"/>
      <c r="FA2318" s="4"/>
      <c r="FB2318" s="4"/>
      <c r="FC2318" s="4"/>
      <c r="FD2318" s="4"/>
      <c r="FE2318" s="4"/>
      <c r="FF2318" s="4"/>
      <c r="FG2318" s="4"/>
      <c r="FH2318" s="4"/>
      <c r="FI2318" s="4"/>
      <c r="FJ2318" s="4"/>
      <c r="FK2318" s="4"/>
      <c r="FL2318" s="4"/>
      <c r="FM2318" s="4"/>
      <c r="FN2318" s="4"/>
      <c r="FO2318" s="4"/>
      <c r="FP2318" s="4"/>
      <c r="FQ2318" s="4"/>
      <c r="FR2318" s="4"/>
      <c r="FS2318" s="4"/>
      <c r="FT2318" s="4"/>
      <c r="FU2318" s="4"/>
      <c r="FV2318" s="4"/>
      <c r="FW2318" s="4"/>
      <c r="FX2318" s="4"/>
      <c r="FY2318" s="4"/>
      <c r="FZ2318" s="4"/>
      <c r="GA2318" s="4"/>
      <c r="GB2318" s="4"/>
      <c r="GC2318" s="4"/>
      <c r="GD2318" s="4"/>
      <c r="GE2318" s="4"/>
    </row>
    <row r="2319" spans="1:19" ht="15" customHeight="1">
      <c r="A2319" s="399" t="s">
        <v>659</v>
      </c>
      <c r="B2319" s="399"/>
      <c r="C2319" s="399"/>
      <c r="D2319" s="399"/>
      <c r="E2319" s="399"/>
      <c r="F2319" s="399"/>
      <c r="G2319" s="399"/>
      <c r="H2319" s="399"/>
      <c r="I2319" s="399"/>
      <c r="J2319" s="399"/>
      <c r="K2319" s="399"/>
      <c r="L2319" s="399"/>
      <c r="M2319" s="399"/>
      <c r="N2319" s="399"/>
      <c r="O2319" s="399"/>
      <c r="P2319" s="399"/>
      <c r="Q2319" s="20"/>
      <c r="R2319" s="20"/>
      <c r="S2319" s="7"/>
    </row>
    <row r="2320" spans="1:19" ht="13.5" customHeight="1">
      <c r="A2320" s="400" t="s">
        <v>909</v>
      </c>
      <c r="B2320" s="400"/>
      <c r="C2320" s="400"/>
      <c r="D2320" s="400"/>
      <c r="E2320" s="400"/>
      <c r="F2320" s="400"/>
      <c r="G2320" s="400"/>
      <c r="H2320" s="400"/>
      <c r="I2320" s="400"/>
      <c r="J2320" s="400"/>
      <c r="K2320" s="400"/>
      <c r="L2320" s="400"/>
      <c r="M2320" s="400"/>
      <c r="N2320" s="400"/>
      <c r="O2320" s="400"/>
      <c r="P2320" s="400"/>
      <c r="Q2320" s="21"/>
      <c r="R2320" s="21"/>
      <c r="S2320" s="8"/>
    </row>
    <row r="2321" spans="1:188" s="57" customFormat="1" ht="16.5" customHeight="1">
      <c r="A2321" s="13">
        <v>32</v>
      </c>
      <c r="B2321" s="92" t="s">
        <v>365</v>
      </c>
      <c r="C2321" s="45"/>
      <c r="D2321" s="44">
        <v>51</v>
      </c>
      <c r="E2321" s="44">
        <v>5</v>
      </c>
      <c r="F2321" s="44">
        <v>44</v>
      </c>
      <c r="G2321" s="44">
        <v>44</v>
      </c>
      <c r="H2321" s="44">
        <v>43</v>
      </c>
      <c r="I2321" s="44">
        <v>43</v>
      </c>
      <c r="J2321" s="44"/>
      <c r="K2321" s="44">
        <v>43</v>
      </c>
      <c r="L2321" s="44">
        <f>SUM(L2322,L2324)</f>
        <v>3</v>
      </c>
      <c r="M2321" s="44">
        <f>SUM(M2322,M2324)</f>
        <v>2</v>
      </c>
      <c r="N2321" s="44">
        <f>SUM(N2322,N2324)</f>
        <v>2</v>
      </c>
      <c r="O2321" s="44">
        <f>SUM(O2322,O2324)</f>
        <v>3</v>
      </c>
      <c r="P2321" s="44">
        <f>SUM(P2322,P2324)</f>
        <v>2</v>
      </c>
      <c r="Q2321" s="54" t="s">
        <v>649</v>
      </c>
      <c r="R2321" s="54">
        <v>8</v>
      </c>
      <c r="S2321" s="55" t="s">
        <v>591</v>
      </c>
      <c r="T2321" s="56"/>
      <c r="U2321" s="56"/>
      <c r="V2321" s="56"/>
      <c r="W2321" s="56"/>
      <c r="X2321" s="56"/>
      <c r="Y2321" s="56"/>
      <c r="Z2321" s="56"/>
      <c r="AA2321" s="56"/>
      <c r="AB2321" s="56"/>
      <c r="AC2321" s="56"/>
      <c r="AD2321" s="56"/>
      <c r="AE2321" s="56"/>
      <c r="AF2321" s="56"/>
      <c r="AG2321" s="56"/>
      <c r="AH2321" s="56"/>
      <c r="AI2321" s="56"/>
      <c r="AJ2321" s="56"/>
      <c r="AK2321" s="56"/>
      <c r="AL2321" s="56"/>
      <c r="AM2321" s="56"/>
      <c r="AN2321" s="56"/>
      <c r="AO2321" s="56"/>
      <c r="AP2321" s="56"/>
      <c r="AQ2321" s="56"/>
      <c r="AR2321" s="56"/>
      <c r="AS2321" s="56"/>
      <c r="AT2321" s="56"/>
      <c r="AU2321" s="56"/>
      <c r="AV2321" s="56"/>
      <c r="AW2321" s="56"/>
      <c r="AX2321" s="56"/>
      <c r="AY2321" s="56"/>
      <c r="AZ2321" s="56"/>
      <c r="BA2321" s="56"/>
      <c r="BB2321" s="56"/>
      <c r="BC2321" s="56"/>
      <c r="BD2321" s="56"/>
      <c r="BE2321" s="56"/>
      <c r="BF2321" s="56"/>
      <c r="BG2321" s="56"/>
      <c r="BH2321" s="56"/>
      <c r="BI2321" s="56"/>
      <c r="BJ2321" s="56"/>
      <c r="BK2321" s="56"/>
      <c r="BL2321" s="56"/>
      <c r="BM2321" s="56"/>
      <c r="BN2321" s="56"/>
      <c r="BO2321" s="56"/>
      <c r="BP2321" s="56"/>
      <c r="BQ2321" s="56"/>
      <c r="BR2321" s="56"/>
      <c r="BS2321" s="56"/>
      <c r="BT2321" s="56"/>
      <c r="BU2321" s="56"/>
      <c r="BV2321" s="56"/>
      <c r="BW2321" s="56"/>
      <c r="BX2321" s="56"/>
      <c r="BY2321" s="56"/>
      <c r="BZ2321" s="56"/>
      <c r="CA2321" s="56"/>
      <c r="CB2321" s="56"/>
      <c r="CC2321" s="56"/>
      <c r="CD2321" s="56"/>
      <c r="CE2321" s="56"/>
      <c r="CF2321" s="56"/>
      <c r="CG2321" s="56"/>
      <c r="CH2321" s="56"/>
      <c r="CI2321" s="56"/>
      <c r="CJ2321" s="56"/>
      <c r="CK2321" s="56"/>
      <c r="CL2321" s="56"/>
      <c r="CM2321" s="56"/>
      <c r="CN2321" s="56"/>
      <c r="CO2321" s="56"/>
      <c r="CP2321" s="56"/>
      <c r="CQ2321" s="56"/>
      <c r="CR2321" s="56"/>
      <c r="CS2321" s="56"/>
      <c r="CT2321" s="56"/>
      <c r="CU2321" s="56"/>
      <c r="CV2321" s="56"/>
      <c r="CW2321" s="56"/>
      <c r="CX2321" s="56"/>
      <c r="CY2321" s="56"/>
      <c r="CZ2321" s="56"/>
      <c r="DA2321" s="56"/>
      <c r="DB2321" s="56"/>
      <c r="DC2321" s="56"/>
      <c r="DD2321" s="56"/>
      <c r="DE2321" s="56"/>
      <c r="DF2321" s="56"/>
      <c r="DG2321" s="56"/>
      <c r="DH2321" s="56"/>
      <c r="DI2321" s="56"/>
      <c r="DJ2321" s="56"/>
      <c r="DK2321" s="56"/>
      <c r="DL2321" s="56"/>
      <c r="DM2321" s="56"/>
      <c r="DN2321" s="56"/>
      <c r="DO2321" s="56"/>
      <c r="DP2321" s="56"/>
      <c r="DQ2321" s="56"/>
      <c r="DR2321" s="56"/>
      <c r="DS2321" s="56"/>
      <c r="DT2321" s="56"/>
      <c r="DU2321" s="56"/>
      <c r="DV2321" s="56"/>
      <c r="DW2321" s="56"/>
      <c r="DX2321" s="56"/>
      <c r="DY2321" s="56"/>
      <c r="DZ2321" s="56"/>
      <c r="EA2321" s="56"/>
      <c r="EB2321" s="56"/>
      <c r="EC2321" s="56"/>
      <c r="ED2321" s="56"/>
      <c r="EE2321" s="56"/>
      <c r="EF2321" s="56"/>
      <c r="EG2321" s="56"/>
      <c r="EH2321" s="56"/>
      <c r="EI2321" s="56"/>
      <c r="EJ2321" s="56"/>
      <c r="EK2321" s="56"/>
      <c r="EL2321" s="56"/>
      <c r="EM2321" s="56"/>
      <c r="EN2321" s="56"/>
      <c r="EO2321" s="56"/>
      <c r="EP2321" s="56"/>
      <c r="EQ2321" s="56"/>
      <c r="ER2321" s="56"/>
      <c r="ES2321" s="56"/>
      <c r="ET2321" s="56"/>
      <c r="EU2321" s="56"/>
      <c r="EV2321" s="56"/>
      <c r="EW2321" s="56"/>
      <c r="EX2321" s="56"/>
      <c r="EY2321" s="56"/>
      <c r="EZ2321" s="56"/>
      <c r="FA2321" s="56"/>
      <c r="FB2321" s="56"/>
      <c r="FC2321" s="56"/>
      <c r="FD2321" s="56"/>
      <c r="FE2321" s="56"/>
      <c r="FF2321" s="56"/>
      <c r="FG2321" s="56"/>
      <c r="FH2321" s="56"/>
      <c r="FI2321" s="56"/>
      <c r="FJ2321" s="56"/>
      <c r="FK2321" s="56"/>
      <c r="FL2321" s="56"/>
      <c r="FM2321" s="56"/>
      <c r="FN2321" s="56"/>
      <c r="FO2321" s="56"/>
      <c r="FP2321" s="56"/>
      <c r="FQ2321" s="56"/>
      <c r="FR2321" s="56"/>
      <c r="FS2321" s="56"/>
      <c r="FT2321" s="56"/>
      <c r="FU2321" s="56"/>
      <c r="FV2321" s="56"/>
      <c r="FW2321" s="56"/>
      <c r="FX2321" s="56"/>
      <c r="FY2321" s="56"/>
      <c r="FZ2321" s="56"/>
      <c r="GA2321" s="56"/>
      <c r="GB2321" s="56"/>
      <c r="GC2321" s="56"/>
      <c r="GD2321" s="56"/>
      <c r="GE2321" s="56"/>
      <c r="GF2321" s="56"/>
    </row>
    <row r="2322" spans="1:48" s="18" customFormat="1" ht="16.5" customHeight="1">
      <c r="A2322" s="50"/>
      <c r="B2322" s="93" t="s">
        <v>669</v>
      </c>
      <c r="C2322" s="16"/>
      <c r="D2322" s="52"/>
      <c r="E2322" s="52"/>
      <c r="F2322" s="52"/>
      <c r="G2322" s="52"/>
      <c r="H2322" s="52"/>
      <c r="I2322" s="52"/>
      <c r="J2322" s="52"/>
      <c r="K2322" s="52"/>
      <c r="L2322" s="60">
        <f>L2323</f>
        <v>2</v>
      </c>
      <c r="M2322" s="60">
        <f>M2323</f>
        <v>1</v>
      </c>
      <c r="N2322" s="60">
        <f>N2323</f>
        <v>2</v>
      </c>
      <c r="O2322" s="60">
        <f>O2323</f>
        <v>2</v>
      </c>
      <c r="P2322" s="60">
        <f>P2323</f>
        <v>2</v>
      </c>
      <c r="Q2322" s="23"/>
      <c r="R2322" s="23"/>
      <c r="S2322" s="17"/>
      <c r="T2322" s="47"/>
      <c r="U2322" s="47"/>
      <c r="V2322" s="47"/>
      <c r="W2322" s="47"/>
      <c r="X2322" s="47"/>
      <c r="Y2322" s="47"/>
      <c r="Z2322" s="47"/>
      <c r="AA2322" s="47"/>
      <c r="AB2322" s="47"/>
      <c r="AC2322" s="47"/>
      <c r="AD2322" s="47"/>
      <c r="AE2322" s="47"/>
      <c r="AF2322" s="47"/>
      <c r="AG2322" s="47"/>
      <c r="AH2322" s="47"/>
      <c r="AI2322" s="47"/>
      <c r="AJ2322" s="47"/>
      <c r="AK2322" s="47"/>
      <c r="AL2322" s="47"/>
      <c r="AM2322" s="47"/>
      <c r="AN2322" s="47"/>
      <c r="AO2322" s="47"/>
      <c r="AP2322" s="47"/>
      <c r="AQ2322" s="47"/>
      <c r="AR2322" s="47"/>
      <c r="AS2322" s="47"/>
      <c r="AT2322" s="47"/>
      <c r="AU2322" s="47"/>
      <c r="AV2322" s="47"/>
    </row>
    <row r="2323" spans="1:48" s="27" customFormat="1" ht="16.5" customHeight="1">
      <c r="A2323" s="12"/>
      <c r="B2323" s="97" t="s">
        <v>555</v>
      </c>
      <c r="C2323" s="15" t="s">
        <v>445</v>
      </c>
      <c r="D2323" s="51"/>
      <c r="E2323" s="40"/>
      <c r="F2323" s="51">
        <v>3</v>
      </c>
      <c r="G2323" s="51">
        <v>3</v>
      </c>
      <c r="H2323" s="51">
        <v>3</v>
      </c>
      <c r="I2323" s="51">
        <v>3</v>
      </c>
      <c r="J2323" s="51"/>
      <c r="K2323" s="51">
        <v>3</v>
      </c>
      <c r="L2323" s="40">
        <v>2</v>
      </c>
      <c r="M2323" s="40">
        <v>1</v>
      </c>
      <c r="N2323" s="40">
        <v>2</v>
      </c>
      <c r="O2323" s="40">
        <v>2</v>
      </c>
      <c r="P2323" s="40">
        <v>2</v>
      </c>
      <c r="Q2323" s="30"/>
      <c r="R2323" s="30"/>
      <c r="S2323" s="30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</row>
    <row r="2324" spans="1:48" s="18" customFormat="1" ht="15.75" customHeight="1">
      <c r="A2324" s="50"/>
      <c r="B2324" s="93" t="s">
        <v>37</v>
      </c>
      <c r="C2324" s="16"/>
      <c r="D2324" s="52"/>
      <c r="E2324" s="52"/>
      <c r="F2324" s="52"/>
      <c r="G2324" s="52"/>
      <c r="H2324" s="52"/>
      <c r="I2324" s="52"/>
      <c r="J2324" s="52"/>
      <c r="K2324" s="52"/>
      <c r="L2324" s="60">
        <f>L2325</f>
        <v>1</v>
      </c>
      <c r="M2324" s="60">
        <f>M2325</f>
        <v>1</v>
      </c>
      <c r="N2324" s="60" t="s">
        <v>556</v>
      </c>
      <c r="O2324" s="60">
        <v>1</v>
      </c>
      <c r="P2324" s="60" t="s">
        <v>556</v>
      </c>
      <c r="Q2324" s="23"/>
      <c r="R2324" s="23"/>
      <c r="S2324" s="17"/>
      <c r="T2324" s="47"/>
      <c r="U2324" s="47"/>
      <c r="V2324" s="47"/>
      <c r="W2324" s="47"/>
      <c r="X2324" s="47"/>
      <c r="Y2324" s="47"/>
      <c r="Z2324" s="47"/>
      <c r="AA2324" s="47"/>
      <c r="AB2324" s="47"/>
      <c r="AC2324" s="47"/>
      <c r="AD2324" s="47"/>
      <c r="AE2324" s="47"/>
      <c r="AF2324" s="47"/>
      <c r="AG2324" s="47"/>
      <c r="AH2324" s="47"/>
      <c r="AI2324" s="47"/>
      <c r="AJ2324" s="47"/>
      <c r="AK2324" s="47"/>
      <c r="AL2324" s="47"/>
      <c r="AM2324" s="47"/>
      <c r="AN2324" s="47"/>
      <c r="AO2324" s="47"/>
      <c r="AP2324" s="47"/>
      <c r="AQ2324" s="47"/>
      <c r="AR2324" s="47"/>
      <c r="AS2324" s="47"/>
      <c r="AT2324" s="47"/>
      <c r="AU2324" s="47"/>
      <c r="AV2324" s="47"/>
    </row>
    <row r="2325" spans="1:187" s="5" customFormat="1" ht="18" customHeight="1">
      <c r="A2325" s="12"/>
      <c r="B2325" s="111" t="s">
        <v>862</v>
      </c>
      <c r="C2325" s="15" t="s">
        <v>863</v>
      </c>
      <c r="D2325" s="40"/>
      <c r="E2325" s="40"/>
      <c r="F2325" s="40"/>
      <c r="G2325" s="40">
        <v>2</v>
      </c>
      <c r="H2325" s="40">
        <v>2</v>
      </c>
      <c r="I2325" s="40">
        <v>2</v>
      </c>
      <c r="J2325" s="40">
        <v>2</v>
      </c>
      <c r="K2325" s="40">
        <v>2</v>
      </c>
      <c r="L2325" s="40">
        <v>1</v>
      </c>
      <c r="M2325" s="40">
        <v>1</v>
      </c>
      <c r="N2325" s="40" t="s">
        <v>556</v>
      </c>
      <c r="O2325" s="40">
        <v>1</v>
      </c>
      <c r="P2325" s="40" t="s">
        <v>556</v>
      </c>
      <c r="Q2325" s="22"/>
      <c r="R2325" s="22"/>
      <c r="S2325" s="31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  <c r="AR2325" s="4"/>
      <c r="AS2325" s="4"/>
      <c r="AT2325" s="4"/>
      <c r="AU2325" s="4"/>
      <c r="AV2325" s="4"/>
      <c r="AW2325" s="4"/>
      <c r="AX2325" s="4"/>
      <c r="AY2325" s="4"/>
      <c r="AZ2325" s="4"/>
      <c r="BA2325" s="4"/>
      <c r="BB2325" s="4"/>
      <c r="BC2325" s="4"/>
      <c r="BD2325" s="4"/>
      <c r="BE2325" s="4"/>
      <c r="BF2325" s="4"/>
      <c r="BG2325" s="4"/>
      <c r="BH2325" s="4"/>
      <c r="BI2325" s="4"/>
      <c r="BJ2325" s="4"/>
      <c r="BK2325" s="4"/>
      <c r="BL2325" s="4"/>
      <c r="BM2325" s="4"/>
      <c r="BN2325" s="4"/>
      <c r="BO2325" s="4"/>
      <c r="BP2325" s="4"/>
      <c r="BQ2325" s="4"/>
      <c r="BR2325" s="4"/>
      <c r="BS2325" s="4"/>
      <c r="BT2325" s="4"/>
      <c r="BU2325" s="4"/>
      <c r="BV2325" s="4"/>
      <c r="BW2325" s="4"/>
      <c r="BX2325" s="4"/>
      <c r="BY2325" s="4"/>
      <c r="BZ2325" s="4"/>
      <c r="CA2325" s="4"/>
      <c r="CB2325" s="4"/>
      <c r="CC2325" s="4"/>
      <c r="CD2325" s="4"/>
      <c r="CE2325" s="4"/>
      <c r="CF2325" s="4"/>
      <c r="CG2325" s="4"/>
      <c r="CH2325" s="4"/>
      <c r="CI2325" s="4"/>
      <c r="CJ2325" s="4"/>
      <c r="CK2325" s="4"/>
      <c r="CL2325" s="4"/>
      <c r="CM2325" s="4"/>
      <c r="CN2325" s="4"/>
      <c r="CO2325" s="4"/>
      <c r="CP2325" s="4"/>
      <c r="CQ2325" s="4"/>
      <c r="CR2325" s="4"/>
      <c r="CS2325" s="4"/>
      <c r="CT2325" s="4"/>
      <c r="CU2325" s="4"/>
      <c r="CV2325" s="4"/>
      <c r="CW2325" s="4"/>
      <c r="CX2325" s="4"/>
      <c r="CY2325" s="4"/>
      <c r="CZ2325" s="4"/>
      <c r="DA2325" s="4"/>
      <c r="DB2325" s="4"/>
      <c r="DC2325" s="4"/>
      <c r="DD2325" s="4"/>
      <c r="DE2325" s="4"/>
      <c r="DF2325" s="4"/>
      <c r="DG2325" s="4"/>
      <c r="DH2325" s="4"/>
      <c r="DI2325" s="4"/>
      <c r="DJ2325" s="4"/>
      <c r="DK2325" s="4"/>
      <c r="DL2325" s="4"/>
      <c r="DM2325" s="4"/>
      <c r="DN2325" s="4"/>
      <c r="DO2325" s="4"/>
      <c r="DP2325" s="4"/>
      <c r="DQ2325" s="4"/>
      <c r="DR2325" s="4"/>
      <c r="DS2325" s="4"/>
      <c r="DT2325" s="4"/>
      <c r="DU2325" s="4"/>
      <c r="DV2325" s="4"/>
      <c r="DW2325" s="4"/>
      <c r="DX2325" s="4"/>
      <c r="DY2325" s="4"/>
      <c r="DZ2325" s="4"/>
      <c r="EA2325" s="4"/>
      <c r="EB2325" s="4"/>
      <c r="EC2325" s="4"/>
      <c r="ED2325" s="4"/>
      <c r="EE2325" s="4"/>
      <c r="EF2325" s="4"/>
      <c r="EG2325" s="4"/>
      <c r="EH2325" s="4"/>
      <c r="EI2325" s="4"/>
      <c r="EJ2325" s="4"/>
      <c r="EK2325" s="4"/>
      <c r="EL2325" s="4"/>
      <c r="EM2325" s="4"/>
      <c r="EN2325" s="4"/>
      <c r="EO2325" s="4"/>
      <c r="EP2325" s="4"/>
      <c r="EQ2325" s="4"/>
      <c r="ER2325" s="4"/>
      <c r="ES2325" s="4"/>
      <c r="ET2325" s="4"/>
      <c r="EU2325" s="4"/>
      <c r="EV2325" s="4"/>
      <c r="EW2325" s="4"/>
      <c r="EX2325" s="4"/>
      <c r="EY2325" s="4"/>
      <c r="EZ2325" s="4"/>
      <c r="FA2325" s="4"/>
      <c r="FB2325" s="4"/>
      <c r="FC2325" s="4"/>
      <c r="FD2325" s="4"/>
      <c r="FE2325" s="4"/>
      <c r="FF2325" s="4"/>
      <c r="FG2325" s="4"/>
      <c r="FH2325" s="4"/>
      <c r="FI2325" s="4"/>
      <c r="FJ2325" s="4"/>
      <c r="FK2325" s="4"/>
      <c r="FL2325" s="4"/>
      <c r="FM2325" s="4"/>
      <c r="FN2325" s="4"/>
      <c r="FO2325" s="4"/>
      <c r="FP2325" s="4"/>
      <c r="FQ2325" s="4"/>
      <c r="FR2325" s="4"/>
      <c r="FS2325" s="4"/>
      <c r="FT2325" s="4"/>
      <c r="FU2325" s="4"/>
      <c r="FV2325" s="4"/>
      <c r="FW2325" s="4"/>
      <c r="FX2325" s="4"/>
      <c r="FY2325" s="4"/>
      <c r="FZ2325" s="4"/>
      <c r="GA2325" s="4"/>
      <c r="GB2325" s="4"/>
      <c r="GC2325" s="4"/>
      <c r="GD2325" s="4"/>
      <c r="GE2325" s="4"/>
    </row>
    <row r="2326" spans="1:188" s="57" customFormat="1" ht="15" customHeight="1">
      <c r="A2326" s="13">
        <v>33</v>
      </c>
      <c r="B2326" s="92" t="s">
        <v>778</v>
      </c>
      <c r="C2326" s="45"/>
      <c r="D2326" s="44">
        <v>15</v>
      </c>
      <c r="E2326" s="44" t="s">
        <v>556</v>
      </c>
      <c r="F2326" s="44"/>
      <c r="G2326" s="44">
        <v>15</v>
      </c>
      <c r="H2326" s="44">
        <v>16</v>
      </c>
      <c r="I2326" s="44">
        <v>16</v>
      </c>
      <c r="J2326" s="44">
        <v>16</v>
      </c>
      <c r="K2326" s="44">
        <v>18</v>
      </c>
      <c r="L2326" s="44">
        <v>1</v>
      </c>
      <c r="M2326" s="44" t="s">
        <v>556</v>
      </c>
      <c r="N2326" s="44" t="s">
        <v>556</v>
      </c>
      <c r="O2326" s="44" t="s">
        <v>556</v>
      </c>
      <c r="P2326" s="44">
        <v>2</v>
      </c>
      <c r="Q2326" s="54" t="s">
        <v>649</v>
      </c>
      <c r="R2326" s="54">
        <v>8</v>
      </c>
      <c r="S2326" s="55" t="s">
        <v>591</v>
      </c>
      <c r="T2326" s="56"/>
      <c r="U2326" s="56"/>
      <c r="V2326" s="56"/>
      <c r="W2326" s="56"/>
      <c r="X2326" s="56"/>
      <c r="Y2326" s="56"/>
      <c r="Z2326" s="56"/>
      <c r="AA2326" s="56"/>
      <c r="AB2326" s="56"/>
      <c r="AC2326" s="56"/>
      <c r="AD2326" s="56"/>
      <c r="AE2326" s="56"/>
      <c r="AF2326" s="56"/>
      <c r="AG2326" s="56"/>
      <c r="AH2326" s="56"/>
      <c r="AI2326" s="56"/>
      <c r="AJ2326" s="56"/>
      <c r="AK2326" s="56"/>
      <c r="AL2326" s="56"/>
      <c r="AM2326" s="56"/>
      <c r="AN2326" s="56"/>
      <c r="AO2326" s="56"/>
      <c r="AP2326" s="56"/>
      <c r="AQ2326" s="56"/>
      <c r="AR2326" s="56"/>
      <c r="AS2326" s="56"/>
      <c r="AT2326" s="56"/>
      <c r="AU2326" s="56"/>
      <c r="AV2326" s="56"/>
      <c r="AW2326" s="56"/>
      <c r="AX2326" s="56"/>
      <c r="AY2326" s="56"/>
      <c r="AZ2326" s="56"/>
      <c r="BA2326" s="56"/>
      <c r="BB2326" s="56"/>
      <c r="BC2326" s="56"/>
      <c r="BD2326" s="56"/>
      <c r="BE2326" s="56"/>
      <c r="BF2326" s="56"/>
      <c r="BG2326" s="56"/>
      <c r="BH2326" s="56"/>
      <c r="BI2326" s="56"/>
      <c r="BJ2326" s="56"/>
      <c r="BK2326" s="56"/>
      <c r="BL2326" s="56"/>
      <c r="BM2326" s="56"/>
      <c r="BN2326" s="56"/>
      <c r="BO2326" s="56"/>
      <c r="BP2326" s="56"/>
      <c r="BQ2326" s="56"/>
      <c r="BR2326" s="56"/>
      <c r="BS2326" s="56"/>
      <c r="BT2326" s="56"/>
      <c r="BU2326" s="56"/>
      <c r="BV2326" s="56"/>
      <c r="BW2326" s="56"/>
      <c r="BX2326" s="56"/>
      <c r="BY2326" s="56"/>
      <c r="BZ2326" s="56"/>
      <c r="CA2326" s="56"/>
      <c r="CB2326" s="56"/>
      <c r="CC2326" s="56"/>
      <c r="CD2326" s="56"/>
      <c r="CE2326" s="56"/>
      <c r="CF2326" s="56"/>
      <c r="CG2326" s="56"/>
      <c r="CH2326" s="56"/>
      <c r="CI2326" s="56"/>
      <c r="CJ2326" s="56"/>
      <c r="CK2326" s="56"/>
      <c r="CL2326" s="56"/>
      <c r="CM2326" s="56"/>
      <c r="CN2326" s="56"/>
      <c r="CO2326" s="56"/>
      <c r="CP2326" s="56"/>
      <c r="CQ2326" s="56"/>
      <c r="CR2326" s="56"/>
      <c r="CS2326" s="56"/>
      <c r="CT2326" s="56"/>
      <c r="CU2326" s="56"/>
      <c r="CV2326" s="56"/>
      <c r="CW2326" s="56"/>
      <c r="CX2326" s="56"/>
      <c r="CY2326" s="56"/>
      <c r="CZ2326" s="56"/>
      <c r="DA2326" s="56"/>
      <c r="DB2326" s="56"/>
      <c r="DC2326" s="56"/>
      <c r="DD2326" s="56"/>
      <c r="DE2326" s="56"/>
      <c r="DF2326" s="56"/>
      <c r="DG2326" s="56"/>
      <c r="DH2326" s="56"/>
      <c r="DI2326" s="56"/>
      <c r="DJ2326" s="56"/>
      <c r="DK2326" s="56"/>
      <c r="DL2326" s="56"/>
      <c r="DM2326" s="56"/>
      <c r="DN2326" s="56"/>
      <c r="DO2326" s="56"/>
      <c r="DP2326" s="56"/>
      <c r="DQ2326" s="56"/>
      <c r="DR2326" s="56"/>
      <c r="DS2326" s="56"/>
      <c r="DT2326" s="56"/>
      <c r="DU2326" s="56"/>
      <c r="DV2326" s="56"/>
      <c r="DW2326" s="56"/>
      <c r="DX2326" s="56"/>
      <c r="DY2326" s="56"/>
      <c r="DZ2326" s="56"/>
      <c r="EA2326" s="56"/>
      <c r="EB2326" s="56"/>
      <c r="EC2326" s="56"/>
      <c r="ED2326" s="56"/>
      <c r="EE2326" s="56"/>
      <c r="EF2326" s="56"/>
      <c r="EG2326" s="56"/>
      <c r="EH2326" s="56"/>
      <c r="EI2326" s="56"/>
      <c r="EJ2326" s="56"/>
      <c r="EK2326" s="56"/>
      <c r="EL2326" s="56"/>
      <c r="EM2326" s="56"/>
      <c r="EN2326" s="56"/>
      <c r="EO2326" s="56"/>
      <c r="EP2326" s="56"/>
      <c r="EQ2326" s="56"/>
      <c r="ER2326" s="56"/>
      <c r="ES2326" s="56"/>
      <c r="ET2326" s="56"/>
      <c r="EU2326" s="56"/>
      <c r="EV2326" s="56"/>
      <c r="EW2326" s="56"/>
      <c r="EX2326" s="56"/>
      <c r="EY2326" s="56"/>
      <c r="EZ2326" s="56"/>
      <c r="FA2326" s="56"/>
      <c r="FB2326" s="56"/>
      <c r="FC2326" s="56"/>
      <c r="FD2326" s="56"/>
      <c r="FE2326" s="56"/>
      <c r="FF2326" s="56"/>
      <c r="FG2326" s="56"/>
      <c r="FH2326" s="56"/>
      <c r="FI2326" s="56"/>
      <c r="FJ2326" s="56"/>
      <c r="FK2326" s="56"/>
      <c r="FL2326" s="56"/>
      <c r="FM2326" s="56"/>
      <c r="FN2326" s="56"/>
      <c r="FO2326" s="56"/>
      <c r="FP2326" s="56"/>
      <c r="FQ2326" s="56"/>
      <c r="FR2326" s="56"/>
      <c r="FS2326" s="56"/>
      <c r="FT2326" s="56"/>
      <c r="FU2326" s="56"/>
      <c r="FV2326" s="56"/>
      <c r="FW2326" s="56"/>
      <c r="FX2326" s="56"/>
      <c r="FY2326" s="56"/>
      <c r="FZ2326" s="56"/>
      <c r="GA2326" s="56"/>
      <c r="GB2326" s="56"/>
      <c r="GC2326" s="56"/>
      <c r="GD2326" s="56"/>
      <c r="GE2326" s="56"/>
      <c r="GF2326" s="56"/>
    </row>
    <row r="2327" spans="1:48" s="18" customFormat="1" ht="15" customHeight="1">
      <c r="A2327" s="50"/>
      <c r="B2327" s="93" t="s">
        <v>669</v>
      </c>
      <c r="C2327" s="16"/>
      <c r="D2327" s="52"/>
      <c r="E2327" s="52"/>
      <c r="F2327" s="52"/>
      <c r="G2327" s="52"/>
      <c r="H2327" s="52"/>
      <c r="I2327" s="52"/>
      <c r="J2327" s="52"/>
      <c r="K2327" s="52"/>
      <c r="L2327" s="60">
        <v>1</v>
      </c>
      <c r="M2327" s="60" t="s">
        <v>556</v>
      </c>
      <c r="N2327" s="60" t="s">
        <v>556</v>
      </c>
      <c r="O2327" s="60" t="s">
        <v>556</v>
      </c>
      <c r="P2327" s="60">
        <v>1</v>
      </c>
      <c r="Q2327" s="23"/>
      <c r="R2327" s="23"/>
      <c r="S2327" s="17"/>
      <c r="T2327" s="47"/>
      <c r="U2327" s="47"/>
      <c r="V2327" s="47"/>
      <c r="W2327" s="47"/>
      <c r="X2327" s="47"/>
      <c r="Y2327" s="47"/>
      <c r="Z2327" s="47"/>
      <c r="AA2327" s="47"/>
      <c r="AB2327" s="47"/>
      <c r="AC2327" s="47"/>
      <c r="AD2327" s="47"/>
      <c r="AE2327" s="47"/>
      <c r="AF2327" s="47"/>
      <c r="AG2327" s="47"/>
      <c r="AH2327" s="47"/>
      <c r="AI2327" s="47"/>
      <c r="AJ2327" s="47"/>
      <c r="AK2327" s="47"/>
      <c r="AL2327" s="47"/>
      <c r="AM2327" s="47"/>
      <c r="AN2327" s="47"/>
      <c r="AO2327" s="47"/>
      <c r="AP2327" s="47"/>
      <c r="AQ2327" s="47"/>
      <c r="AR2327" s="47"/>
      <c r="AS2327" s="47"/>
      <c r="AT2327" s="47"/>
      <c r="AU2327" s="47"/>
      <c r="AV2327" s="47"/>
    </row>
    <row r="2328" spans="1:48" s="27" customFormat="1" ht="15" customHeight="1">
      <c r="A2328" s="12"/>
      <c r="B2328" s="97" t="s">
        <v>555</v>
      </c>
      <c r="C2328" s="15" t="s">
        <v>445</v>
      </c>
      <c r="D2328" s="51"/>
      <c r="E2328" s="40"/>
      <c r="F2328" s="51"/>
      <c r="G2328" s="51">
        <v>11</v>
      </c>
      <c r="H2328" s="51">
        <v>12</v>
      </c>
      <c r="I2328" s="51">
        <v>12</v>
      </c>
      <c r="J2328" s="51">
        <v>12</v>
      </c>
      <c r="K2328" s="51">
        <v>13</v>
      </c>
      <c r="L2328" s="40">
        <v>1</v>
      </c>
      <c r="M2328" s="40" t="s">
        <v>556</v>
      </c>
      <c r="N2328" s="40" t="s">
        <v>556</v>
      </c>
      <c r="O2328" s="40" t="s">
        <v>556</v>
      </c>
      <c r="P2328" s="40">
        <v>1</v>
      </c>
      <c r="Q2328" s="30"/>
      <c r="R2328" s="30"/>
      <c r="S2328" s="30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</row>
    <row r="2329" spans="1:48" s="18" customFormat="1" ht="15" customHeight="1">
      <c r="A2329" s="50"/>
      <c r="B2329" s="93" t="s">
        <v>670</v>
      </c>
      <c r="C2329" s="16"/>
      <c r="D2329" s="52"/>
      <c r="E2329" s="52"/>
      <c r="F2329" s="52"/>
      <c r="G2329" s="52"/>
      <c r="H2329" s="52"/>
      <c r="I2329" s="52"/>
      <c r="J2329" s="52"/>
      <c r="K2329" s="52"/>
      <c r="L2329" s="60" t="str">
        <f>L2330</f>
        <v> -</v>
      </c>
      <c r="M2329" s="60" t="str">
        <f>M2330</f>
        <v> -</v>
      </c>
      <c r="N2329" s="60" t="str">
        <f>N2330</f>
        <v> -</v>
      </c>
      <c r="O2329" s="60" t="str">
        <f>O2330</f>
        <v> -</v>
      </c>
      <c r="P2329" s="60">
        <f>P2330</f>
        <v>1</v>
      </c>
      <c r="Q2329" s="23"/>
      <c r="R2329" s="23"/>
      <c r="S2329" s="17"/>
      <c r="T2329" s="47"/>
      <c r="U2329" s="47"/>
      <c r="V2329" s="47"/>
      <c r="W2329" s="47"/>
      <c r="X2329" s="47"/>
      <c r="Y2329" s="47"/>
      <c r="Z2329" s="47"/>
      <c r="AA2329" s="47"/>
      <c r="AB2329" s="47"/>
      <c r="AC2329" s="47"/>
      <c r="AD2329" s="47"/>
      <c r="AE2329" s="47"/>
      <c r="AF2329" s="47"/>
      <c r="AG2329" s="47"/>
      <c r="AH2329" s="47"/>
      <c r="AI2329" s="47"/>
      <c r="AJ2329" s="47"/>
      <c r="AK2329" s="47"/>
      <c r="AL2329" s="47"/>
      <c r="AM2329" s="47"/>
      <c r="AN2329" s="47"/>
      <c r="AO2329" s="47"/>
      <c r="AP2329" s="47"/>
      <c r="AQ2329" s="47"/>
      <c r="AR2329" s="47"/>
      <c r="AS2329" s="47"/>
      <c r="AT2329" s="47"/>
      <c r="AU2329" s="47"/>
      <c r="AV2329" s="47"/>
    </row>
    <row r="2330" spans="1:187" s="5" customFormat="1" ht="15" customHeight="1">
      <c r="A2330" s="12"/>
      <c r="B2330" s="111" t="s">
        <v>561</v>
      </c>
      <c r="C2330" s="15" t="s">
        <v>1053</v>
      </c>
      <c r="D2330" s="40"/>
      <c r="E2330" s="40"/>
      <c r="F2330" s="40"/>
      <c r="G2330" s="40">
        <v>1</v>
      </c>
      <c r="H2330" s="40">
        <v>1</v>
      </c>
      <c r="I2330" s="40">
        <v>1</v>
      </c>
      <c r="J2330" s="40">
        <v>1</v>
      </c>
      <c r="K2330" s="40">
        <v>1</v>
      </c>
      <c r="L2330" s="40" t="s">
        <v>556</v>
      </c>
      <c r="M2330" s="40" t="s">
        <v>556</v>
      </c>
      <c r="N2330" s="40" t="s">
        <v>556</v>
      </c>
      <c r="O2330" s="40" t="s">
        <v>556</v>
      </c>
      <c r="P2330" s="40">
        <v>1</v>
      </c>
      <c r="Q2330" s="22"/>
      <c r="R2330" s="22"/>
      <c r="S2330" s="31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  <c r="AR2330" s="4"/>
      <c r="AS2330" s="4"/>
      <c r="AT2330" s="4"/>
      <c r="AU2330" s="4"/>
      <c r="AV2330" s="4"/>
      <c r="AW2330" s="4"/>
      <c r="AX2330" s="4"/>
      <c r="AY2330" s="4"/>
      <c r="AZ2330" s="4"/>
      <c r="BA2330" s="4"/>
      <c r="BB2330" s="4"/>
      <c r="BC2330" s="4"/>
      <c r="BD2330" s="4"/>
      <c r="BE2330" s="4"/>
      <c r="BF2330" s="4"/>
      <c r="BG2330" s="4"/>
      <c r="BH2330" s="4"/>
      <c r="BI2330" s="4"/>
      <c r="BJ2330" s="4"/>
      <c r="BK2330" s="4"/>
      <c r="BL2330" s="4"/>
      <c r="BM2330" s="4"/>
      <c r="BN2330" s="4"/>
      <c r="BO2330" s="4"/>
      <c r="BP2330" s="4"/>
      <c r="BQ2330" s="4"/>
      <c r="BR2330" s="4"/>
      <c r="BS2330" s="4"/>
      <c r="BT2330" s="4"/>
      <c r="BU2330" s="4"/>
      <c r="BV2330" s="4"/>
      <c r="BW2330" s="4"/>
      <c r="BX2330" s="4"/>
      <c r="BY2330" s="4"/>
      <c r="BZ2330" s="4"/>
      <c r="CA2330" s="4"/>
      <c r="CB2330" s="4"/>
      <c r="CC2330" s="4"/>
      <c r="CD2330" s="4"/>
      <c r="CE2330" s="4"/>
      <c r="CF2330" s="4"/>
      <c r="CG2330" s="4"/>
      <c r="CH2330" s="4"/>
      <c r="CI2330" s="4"/>
      <c r="CJ2330" s="4"/>
      <c r="CK2330" s="4"/>
      <c r="CL2330" s="4"/>
      <c r="CM2330" s="4"/>
      <c r="CN2330" s="4"/>
      <c r="CO2330" s="4"/>
      <c r="CP2330" s="4"/>
      <c r="CQ2330" s="4"/>
      <c r="CR2330" s="4"/>
      <c r="CS2330" s="4"/>
      <c r="CT2330" s="4"/>
      <c r="CU2330" s="4"/>
      <c r="CV2330" s="4"/>
      <c r="CW2330" s="4"/>
      <c r="CX2330" s="4"/>
      <c r="CY2330" s="4"/>
      <c r="CZ2330" s="4"/>
      <c r="DA2330" s="4"/>
      <c r="DB2330" s="4"/>
      <c r="DC2330" s="4"/>
      <c r="DD2330" s="4"/>
      <c r="DE2330" s="4"/>
      <c r="DF2330" s="4"/>
      <c r="DG2330" s="4"/>
      <c r="DH2330" s="4"/>
      <c r="DI2330" s="4"/>
      <c r="DJ2330" s="4"/>
      <c r="DK2330" s="4"/>
      <c r="DL2330" s="4"/>
      <c r="DM2330" s="4"/>
      <c r="DN2330" s="4"/>
      <c r="DO2330" s="4"/>
      <c r="DP2330" s="4"/>
      <c r="DQ2330" s="4"/>
      <c r="DR2330" s="4"/>
      <c r="DS2330" s="4"/>
      <c r="DT2330" s="4"/>
      <c r="DU2330" s="4"/>
      <c r="DV2330" s="4"/>
      <c r="DW2330" s="4"/>
      <c r="DX2330" s="4"/>
      <c r="DY2330" s="4"/>
      <c r="DZ2330" s="4"/>
      <c r="EA2330" s="4"/>
      <c r="EB2330" s="4"/>
      <c r="EC2330" s="4"/>
      <c r="ED2330" s="4"/>
      <c r="EE2330" s="4"/>
      <c r="EF2330" s="4"/>
      <c r="EG2330" s="4"/>
      <c r="EH2330" s="4"/>
      <c r="EI2330" s="4"/>
      <c r="EJ2330" s="4"/>
      <c r="EK2330" s="4"/>
      <c r="EL2330" s="4"/>
      <c r="EM2330" s="4"/>
      <c r="EN2330" s="4"/>
      <c r="EO2330" s="4"/>
      <c r="EP2330" s="4"/>
      <c r="EQ2330" s="4"/>
      <c r="ER2330" s="4"/>
      <c r="ES2330" s="4"/>
      <c r="ET2330" s="4"/>
      <c r="EU2330" s="4"/>
      <c r="EV2330" s="4"/>
      <c r="EW2330" s="4"/>
      <c r="EX2330" s="4"/>
      <c r="EY2330" s="4"/>
      <c r="EZ2330" s="4"/>
      <c r="FA2330" s="4"/>
      <c r="FB2330" s="4"/>
      <c r="FC2330" s="4"/>
      <c r="FD2330" s="4"/>
      <c r="FE2330" s="4"/>
      <c r="FF2330" s="4"/>
      <c r="FG2330" s="4"/>
      <c r="FH2330" s="4"/>
      <c r="FI2330" s="4"/>
      <c r="FJ2330" s="4"/>
      <c r="FK2330" s="4"/>
      <c r="FL2330" s="4"/>
      <c r="FM2330" s="4"/>
      <c r="FN2330" s="4"/>
      <c r="FO2330" s="4"/>
      <c r="FP2330" s="4"/>
      <c r="FQ2330" s="4"/>
      <c r="FR2330" s="4"/>
      <c r="FS2330" s="4"/>
      <c r="FT2330" s="4"/>
      <c r="FU2330" s="4"/>
      <c r="FV2330" s="4"/>
      <c r="FW2330" s="4"/>
      <c r="FX2330" s="4"/>
      <c r="FY2330" s="4"/>
      <c r="FZ2330" s="4"/>
      <c r="GA2330" s="4"/>
      <c r="GB2330" s="4"/>
      <c r="GC2330" s="4"/>
      <c r="GD2330" s="4"/>
      <c r="GE2330" s="4"/>
    </row>
    <row r="2331" spans="1:188" s="57" customFormat="1" ht="15" customHeight="1">
      <c r="A2331" s="13">
        <v>34</v>
      </c>
      <c r="B2331" s="92" t="s">
        <v>779</v>
      </c>
      <c r="C2331" s="45"/>
      <c r="D2331" s="44">
        <v>8</v>
      </c>
      <c r="E2331" s="44">
        <v>1</v>
      </c>
      <c r="F2331" s="44"/>
      <c r="G2331" s="44">
        <v>11</v>
      </c>
      <c r="H2331" s="44">
        <v>13</v>
      </c>
      <c r="I2331" s="44">
        <v>13</v>
      </c>
      <c r="J2331" s="44">
        <v>13</v>
      </c>
      <c r="K2331" s="44">
        <v>13</v>
      </c>
      <c r="L2331" s="44">
        <v>2</v>
      </c>
      <c r="M2331" s="44" t="s">
        <v>556</v>
      </c>
      <c r="N2331" s="44" t="s">
        <v>556</v>
      </c>
      <c r="O2331" s="44" t="s">
        <v>556</v>
      </c>
      <c r="P2331" s="44" t="s">
        <v>556</v>
      </c>
      <c r="Q2331" s="54" t="s">
        <v>649</v>
      </c>
      <c r="R2331" s="54">
        <v>8</v>
      </c>
      <c r="S2331" s="55" t="s">
        <v>591</v>
      </c>
      <c r="T2331" s="56"/>
      <c r="U2331" s="56"/>
      <c r="V2331" s="56"/>
      <c r="W2331" s="56"/>
      <c r="X2331" s="56"/>
      <c r="Y2331" s="56"/>
      <c r="Z2331" s="56"/>
      <c r="AA2331" s="56"/>
      <c r="AB2331" s="56"/>
      <c r="AC2331" s="56"/>
      <c r="AD2331" s="56"/>
      <c r="AE2331" s="56"/>
      <c r="AF2331" s="56"/>
      <c r="AG2331" s="56"/>
      <c r="AH2331" s="56"/>
      <c r="AI2331" s="56"/>
      <c r="AJ2331" s="56"/>
      <c r="AK2331" s="56"/>
      <c r="AL2331" s="56"/>
      <c r="AM2331" s="56"/>
      <c r="AN2331" s="56"/>
      <c r="AO2331" s="56"/>
      <c r="AP2331" s="56"/>
      <c r="AQ2331" s="56"/>
      <c r="AR2331" s="56"/>
      <c r="AS2331" s="56"/>
      <c r="AT2331" s="56"/>
      <c r="AU2331" s="56"/>
      <c r="AV2331" s="56"/>
      <c r="AW2331" s="56"/>
      <c r="AX2331" s="56"/>
      <c r="AY2331" s="56"/>
      <c r="AZ2331" s="56"/>
      <c r="BA2331" s="56"/>
      <c r="BB2331" s="56"/>
      <c r="BC2331" s="56"/>
      <c r="BD2331" s="56"/>
      <c r="BE2331" s="56"/>
      <c r="BF2331" s="56"/>
      <c r="BG2331" s="56"/>
      <c r="BH2331" s="56"/>
      <c r="BI2331" s="56"/>
      <c r="BJ2331" s="56"/>
      <c r="BK2331" s="56"/>
      <c r="BL2331" s="56"/>
      <c r="BM2331" s="56"/>
      <c r="BN2331" s="56"/>
      <c r="BO2331" s="56"/>
      <c r="BP2331" s="56"/>
      <c r="BQ2331" s="56"/>
      <c r="BR2331" s="56"/>
      <c r="BS2331" s="56"/>
      <c r="BT2331" s="56"/>
      <c r="BU2331" s="56"/>
      <c r="BV2331" s="56"/>
      <c r="BW2331" s="56"/>
      <c r="BX2331" s="56"/>
      <c r="BY2331" s="56"/>
      <c r="BZ2331" s="56"/>
      <c r="CA2331" s="56"/>
      <c r="CB2331" s="56"/>
      <c r="CC2331" s="56"/>
      <c r="CD2331" s="56"/>
      <c r="CE2331" s="56"/>
      <c r="CF2331" s="56"/>
      <c r="CG2331" s="56"/>
      <c r="CH2331" s="56"/>
      <c r="CI2331" s="56"/>
      <c r="CJ2331" s="56"/>
      <c r="CK2331" s="56"/>
      <c r="CL2331" s="56"/>
      <c r="CM2331" s="56"/>
      <c r="CN2331" s="56"/>
      <c r="CO2331" s="56"/>
      <c r="CP2331" s="56"/>
      <c r="CQ2331" s="56"/>
      <c r="CR2331" s="56"/>
      <c r="CS2331" s="56"/>
      <c r="CT2331" s="56"/>
      <c r="CU2331" s="56"/>
      <c r="CV2331" s="56"/>
      <c r="CW2331" s="56"/>
      <c r="CX2331" s="56"/>
      <c r="CY2331" s="56"/>
      <c r="CZ2331" s="56"/>
      <c r="DA2331" s="56"/>
      <c r="DB2331" s="56"/>
      <c r="DC2331" s="56"/>
      <c r="DD2331" s="56"/>
      <c r="DE2331" s="56"/>
      <c r="DF2331" s="56"/>
      <c r="DG2331" s="56"/>
      <c r="DH2331" s="56"/>
      <c r="DI2331" s="56"/>
      <c r="DJ2331" s="56"/>
      <c r="DK2331" s="56"/>
      <c r="DL2331" s="56"/>
      <c r="DM2331" s="56"/>
      <c r="DN2331" s="56"/>
      <c r="DO2331" s="56"/>
      <c r="DP2331" s="56"/>
      <c r="DQ2331" s="56"/>
      <c r="DR2331" s="56"/>
      <c r="DS2331" s="56"/>
      <c r="DT2331" s="56"/>
      <c r="DU2331" s="56"/>
      <c r="DV2331" s="56"/>
      <c r="DW2331" s="56"/>
      <c r="DX2331" s="56"/>
      <c r="DY2331" s="56"/>
      <c r="DZ2331" s="56"/>
      <c r="EA2331" s="56"/>
      <c r="EB2331" s="56"/>
      <c r="EC2331" s="56"/>
      <c r="ED2331" s="56"/>
      <c r="EE2331" s="56"/>
      <c r="EF2331" s="56"/>
      <c r="EG2331" s="56"/>
      <c r="EH2331" s="56"/>
      <c r="EI2331" s="56"/>
      <c r="EJ2331" s="56"/>
      <c r="EK2331" s="56"/>
      <c r="EL2331" s="56"/>
      <c r="EM2331" s="56"/>
      <c r="EN2331" s="56"/>
      <c r="EO2331" s="56"/>
      <c r="EP2331" s="56"/>
      <c r="EQ2331" s="56"/>
      <c r="ER2331" s="56"/>
      <c r="ES2331" s="56"/>
      <c r="ET2331" s="56"/>
      <c r="EU2331" s="56"/>
      <c r="EV2331" s="56"/>
      <c r="EW2331" s="56"/>
      <c r="EX2331" s="56"/>
      <c r="EY2331" s="56"/>
      <c r="EZ2331" s="56"/>
      <c r="FA2331" s="56"/>
      <c r="FB2331" s="56"/>
      <c r="FC2331" s="56"/>
      <c r="FD2331" s="56"/>
      <c r="FE2331" s="56"/>
      <c r="FF2331" s="56"/>
      <c r="FG2331" s="56"/>
      <c r="FH2331" s="56"/>
      <c r="FI2331" s="56"/>
      <c r="FJ2331" s="56"/>
      <c r="FK2331" s="56"/>
      <c r="FL2331" s="56"/>
      <c r="FM2331" s="56"/>
      <c r="FN2331" s="56"/>
      <c r="FO2331" s="56"/>
      <c r="FP2331" s="56"/>
      <c r="FQ2331" s="56"/>
      <c r="FR2331" s="56"/>
      <c r="FS2331" s="56"/>
      <c r="FT2331" s="56"/>
      <c r="FU2331" s="56"/>
      <c r="FV2331" s="56"/>
      <c r="FW2331" s="56"/>
      <c r="FX2331" s="56"/>
      <c r="FY2331" s="56"/>
      <c r="FZ2331" s="56"/>
      <c r="GA2331" s="56"/>
      <c r="GB2331" s="56"/>
      <c r="GC2331" s="56"/>
      <c r="GD2331" s="56"/>
      <c r="GE2331" s="56"/>
      <c r="GF2331" s="56"/>
    </row>
    <row r="2332" spans="1:48" s="18" customFormat="1" ht="15" customHeight="1">
      <c r="A2332" s="50"/>
      <c r="B2332" s="93" t="s">
        <v>669</v>
      </c>
      <c r="C2332" s="16"/>
      <c r="D2332" s="52"/>
      <c r="E2332" s="52"/>
      <c r="F2332" s="52"/>
      <c r="G2332" s="52"/>
      <c r="H2332" s="52"/>
      <c r="I2332" s="52"/>
      <c r="J2332" s="52"/>
      <c r="K2332" s="52"/>
      <c r="L2332" s="60">
        <v>2</v>
      </c>
      <c r="M2332" s="60" t="s">
        <v>556</v>
      </c>
      <c r="N2332" s="60" t="s">
        <v>556</v>
      </c>
      <c r="O2332" s="60" t="s">
        <v>556</v>
      </c>
      <c r="P2332" s="60" t="s">
        <v>556</v>
      </c>
      <c r="Q2332" s="23"/>
      <c r="R2332" s="23"/>
      <c r="S2332" s="17"/>
      <c r="T2332" s="47"/>
      <c r="U2332" s="47"/>
      <c r="V2332" s="47"/>
      <c r="W2332" s="47"/>
      <c r="X2332" s="47"/>
      <c r="Y2332" s="47"/>
      <c r="Z2332" s="47"/>
      <c r="AA2332" s="47"/>
      <c r="AB2332" s="47"/>
      <c r="AC2332" s="47"/>
      <c r="AD2332" s="47"/>
      <c r="AE2332" s="47"/>
      <c r="AF2332" s="47"/>
      <c r="AG2332" s="47"/>
      <c r="AH2332" s="47"/>
      <c r="AI2332" s="47"/>
      <c r="AJ2332" s="47"/>
      <c r="AK2332" s="47"/>
      <c r="AL2332" s="47"/>
      <c r="AM2332" s="47"/>
      <c r="AN2332" s="47"/>
      <c r="AO2332" s="47"/>
      <c r="AP2332" s="47"/>
      <c r="AQ2332" s="47"/>
      <c r="AR2332" s="47"/>
      <c r="AS2332" s="47"/>
      <c r="AT2332" s="47"/>
      <c r="AU2332" s="47"/>
      <c r="AV2332" s="47"/>
    </row>
    <row r="2333" spans="1:48" s="27" customFormat="1" ht="15" customHeight="1">
      <c r="A2333" s="12"/>
      <c r="B2333" s="97" t="s">
        <v>555</v>
      </c>
      <c r="C2333" s="15" t="s">
        <v>445</v>
      </c>
      <c r="D2333" s="51"/>
      <c r="E2333" s="40"/>
      <c r="F2333" s="51"/>
      <c r="G2333" s="51">
        <v>7</v>
      </c>
      <c r="H2333" s="51">
        <v>8</v>
      </c>
      <c r="I2333" s="51">
        <v>8</v>
      </c>
      <c r="J2333" s="51">
        <v>8</v>
      </c>
      <c r="K2333" s="51">
        <v>8</v>
      </c>
      <c r="L2333" s="40">
        <v>1</v>
      </c>
      <c r="M2333" s="40" t="s">
        <v>556</v>
      </c>
      <c r="N2333" s="40" t="s">
        <v>556</v>
      </c>
      <c r="O2333" s="40" t="s">
        <v>556</v>
      </c>
      <c r="P2333" s="40" t="s">
        <v>556</v>
      </c>
      <c r="Q2333" s="30"/>
      <c r="R2333" s="30"/>
      <c r="S2333" s="30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</row>
    <row r="2334" spans="1:48" s="27" customFormat="1" ht="15" customHeight="1">
      <c r="A2334" s="12"/>
      <c r="B2334" s="97" t="s">
        <v>780</v>
      </c>
      <c r="C2334" s="29" t="s">
        <v>412</v>
      </c>
      <c r="D2334" s="51"/>
      <c r="E2334" s="40"/>
      <c r="F2334" s="51"/>
      <c r="G2334" s="51">
        <v>2</v>
      </c>
      <c r="H2334" s="51">
        <v>3</v>
      </c>
      <c r="I2334" s="51">
        <v>3</v>
      </c>
      <c r="J2334" s="51">
        <v>3</v>
      </c>
      <c r="K2334" s="51">
        <v>3</v>
      </c>
      <c r="L2334" s="40">
        <v>1</v>
      </c>
      <c r="M2334" s="40" t="s">
        <v>556</v>
      </c>
      <c r="N2334" s="40" t="s">
        <v>556</v>
      </c>
      <c r="O2334" s="40" t="s">
        <v>556</v>
      </c>
      <c r="P2334" s="40" t="s">
        <v>556</v>
      </c>
      <c r="Q2334" s="30"/>
      <c r="R2334" s="30"/>
      <c r="S2334" s="30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</row>
    <row r="2335" spans="1:19" ht="15" customHeight="1">
      <c r="A2335" s="399" t="s">
        <v>658</v>
      </c>
      <c r="B2335" s="399"/>
      <c r="C2335" s="399"/>
      <c r="D2335" s="399"/>
      <c r="E2335" s="399"/>
      <c r="F2335" s="399"/>
      <c r="G2335" s="399"/>
      <c r="H2335" s="399"/>
      <c r="I2335" s="399"/>
      <c r="J2335" s="399"/>
      <c r="K2335" s="399"/>
      <c r="L2335" s="399"/>
      <c r="M2335" s="399"/>
      <c r="N2335" s="399"/>
      <c r="O2335" s="399"/>
      <c r="P2335" s="399"/>
      <c r="Q2335" s="20"/>
      <c r="R2335" s="20"/>
      <c r="S2335" s="7"/>
    </row>
    <row r="2336" spans="1:19" ht="13.5" customHeight="1">
      <c r="A2336" s="400" t="s">
        <v>676</v>
      </c>
      <c r="B2336" s="400"/>
      <c r="C2336" s="400"/>
      <c r="D2336" s="400"/>
      <c r="E2336" s="400"/>
      <c r="F2336" s="400"/>
      <c r="G2336" s="400"/>
      <c r="H2336" s="400"/>
      <c r="I2336" s="400"/>
      <c r="J2336" s="400"/>
      <c r="K2336" s="400"/>
      <c r="L2336" s="400"/>
      <c r="M2336" s="400"/>
      <c r="N2336" s="400"/>
      <c r="O2336" s="400"/>
      <c r="P2336" s="400"/>
      <c r="Q2336" s="21"/>
      <c r="R2336" s="21"/>
      <c r="S2336" s="8"/>
    </row>
    <row r="2337" spans="1:188" s="57" customFormat="1" ht="15" customHeight="1">
      <c r="A2337" s="13">
        <v>35</v>
      </c>
      <c r="B2337" s="92" t="s">
        <v>944</v>
      </c>
      <c r="C2337" s="45"/>
      <c r="D2337" s="44">
        <v>200</v>
      </c>
      <c r="E2337" s="44">
        <v>33</v>
      </c>
      <c r="F2337" s="44"/>
      <c r="G2337" s="44">
        <v>15</v>
      </c>
      <c r="H2337" s="44">
        <v>16</v>
      </c>
      <c r="I2337" s="44">
        <v>16</v>
      </c>
      <c r="J2337" s="44">
        <v>16</v>
      </c>
      <c r="K2337" s="44">
        <v>18</v>
      </c>
      <c r="L2337" s="44">
        <v>2</v>
      </c>
      <c r="M2337" s="44">
        <v>2</v>
      </c>
      <c r="N2337" s="44">
        <v>2</v>
      </c>
      <c r="O2337" s="44">
        <v>2</v>
      </c>
      <c r="P2337" s="44">
        <v>2</v>
      </c>
      <c r="Q2337" s="54" t="s">
        <v>649</v>
      </c>
      <c r="R2337" s="54">
        <v>8</v>
      </c>
      <c r="S2337" s="55" t="s">
        <v>591</v>
      </c>
      <c r="T2337" s="56"/>
      <c r="U2337" s="56"/>
      <c r="V2337" s="56"/>
      <c r="W2337" s="56"/>
      <c r="X2337" s="56"/>
      <c r="Y2337" s="56"/>
      <c r="Z2337" s="56"/>
      <c r="AA2337" s="56"/>
      <c r="AB2337" s="56"/>
      <c r="AC2337" s="56"/>
      <c r="AD2337" s="56"/>
      <c r="AE2337" s="56"/>
      <c r="AF2337" s="56"/>
      <c r="AG2337" s="56"/>
      <c r="AH2337" s="56"/>
      <c r="AI2337" s="56"/>
      <c r="AJ2337" s="56"/>
      <c r="AK2337" s="56"/>
      <c r="AL2337" s="56"/>
      <c r="AM2337" s="56"/>
      <c r="AN2337" s="56"/>
      <c r="AO2337" s="56"/>
      <c r="AP2337" s="56"/>
      <c r="AQ2337" s="56"/>
      <c r="AR2337" s="56"/>
      <c r="AS2337" s="56"/>
      <c r="AT2337" s="56"/>
      <c r="AU2337" s="56"/>
      <c r="AV2337" s="56"/>
      <c r="AW2337" s="56"/>
      <c r="AX2337" s="56"/>
      <c r="AY2337" s="56"/>
      <c r="AZ2337" s="56"/>
      <c r="BA2337" s="56"/>
      <c r="BB2337" s="56"/>
      <c r="BC2337" s="56"/>
      <c r="BD2337" s="56"/>
      <c r="BE2337" s="56"/>
      <c r="BF2337" s="56"/>
      <c r="BG2337" s="56"/>
      <c r="BH2337" s="56"/>
      <c r="BI2337" s="56"/>
      <c r="BJ2337" s="56"/>
      <c r="BK2337" s="56"/>
      <c r="BL2337" s="56"/>
      <c r="BM2337" s="56"/>
      <c r="BN2337" s="56"/>
      <c r="BO2337" s="56"/>
      <c r="BP2337" s="56"/>
      <c r="BQ2337" s="56"/>
      <c r="BR2337" s="56"/>
      <c r="BS2337" s="56"/>
      <c r="BT2337" s="56"/>
      <c r="BU2337" s="56"/>
      <c r="BV2337" s="56"/>
      <c r="BW2337" s="56"/>
      <c r="BX2337" s="56"/>
      <c r="BY2337" s="56"/>
      <c r="BZ2337" s="56"/>
      <c r="CA2337" s="56"/>
      <c r="CB2337" s="56"/>
      <c r="CC2337" s="56"/>
      <c r="CD2337" s="56"/>
      <c r="CE2337" s="56"/>
      <c r="CF2337" s="56"/>
      <c r="CG2337" s="56"/>
      <c r="CH2337" s="56"/>
      <c r="CI2337" s="56"/>
      <c r="CJ2337" s="56"/>
      <c r="CK2337" s="56"/>
      <c r="CL2337" s="56"/>
      <c r="CM2337" s="56"/>
      <c r="CN2337" s="56"/>
      <c r="CO2337" s="56"/>
      <c r="CP2337" s="56"/>
      <c r="CQ2337" s="56"/>
      <c r="CR2337" s="56"/>
      <c r="CS2337" s="56"/>
      <c r="CT2337" s="56"/>
      <c r="CU2337" s="56"/>
      <c r="CV2337" s="56"/>
      <c r="CW2337" s="56"/>
      <c r="CX2337" s="56"/>
      <c r="CY2337" s="56"/>
      <c r="CZ2337" s="56"/>
      <c r="DA2337" s="56"/>
      <c r="DB2337" s="56"/>
      <c r="DC2337" s="56"/>
      <c r="DD2337" s="56"/>
      <c r="DE2337" s="56"/>
      <c r="DF2337" s="56"/>
      <c r="DG2337" s="56"/>
      <c r="DH2337" s="56"/>
      <c r="DI2337" s="56"/>
      <c r="DJ2337" s="56"/>
      <c r="DK2337" s="56"/>
      <c r="DL2337" s="56"/>
      <c r="DM2337" s="56"/>
      <c r="DN2337" s="56"/>
      <c r="DO2337" s="56"/>
      <c r="DP2337" s="56"/>
      <c r="DQ2337" s="56"/>
      <c r="DR2337" s="56"/>
      <c r="DS2337" s="56"/>
      <c r="DT2337" s="56"/>
      <c r="DU2337" s="56"/>
      <c r="DV2337" s="56"/>
      <c r="DW2337" s="56"/>
      <c r="DX2337" s="56"/>
      <c r="DY2337" s="56"/>
      <c r="DZ2337" s="56"/>
      <c r="EA2337" s="56"/>
      <c r="EB2337" s="56"/>
      <c r="EC2337" s="56"/>
      <c r="ED2337" s="56"/>
      <c r="EE2337" s="56"/>
      <c r="EF2337" s="56"/>
      <c r="EG2337" s="56"/>
      <c r="EH2337" s="56"/>
      <c r="EI2337" s="56"/>
      <c r="EJ2337" s="56"/>
      <c r="EK2337" s="56"/>
      <c r="EL2337" s="56"/>
      <c r="EM2337" s="56"/>
      <c r="EN2337" s="56"/>
      <c r="EO2337" s="56"/>
      <c r="EP2337" s="56"/>
      <c r="EQ2337" s="56"/>
      <c r="ER2337" s="56"/>
      <c r="ES2337" s="56"/>
      <c r="ET2337" s="56"/>
      <c r="EU2337" s="56"/>
      <c r="EV2337" s="56"/>
      <c r="EW2337" s="56"/>
      <c r="EX2337" s="56"/>
      <c r="EY2337" s="56"/>
      <c r="EZ2337" s="56"/>
      <c r="FA2337" s="56"/>
      <c r="FB2337" s="56"/>
      <c r="FC2337" s="56"/>
      <c r="FD2337" s="56"/>
      <c r="FE2337" s="56"/>
      <c r="FF2337" s="56"/>
      <c r="FG2337" s="56"/>
      <c r="FH2337" s="56"/>
      <c r="FI2337" s="56"/>
      <c r="FJ2337" s="56"/>
      <c r="FK2337" s="56"/>
      <c r="FL2337" s="56"/>
      <c r="FM2337" s="56"/>
      <c r="FN2337" s="56"/>
      <c r="FO2337" s="56"/>
      <c r="FP2337" s="56"/>
      <c r="FQ2337" s="56"/>
      <c r="FR2337" s="56"/>
      <c r="FS2337" s="56"/>
      <c r="FT2337" s="56"/>
      <c r="FU2337" s="56"/>
      <c r="FV2337" s="56"/>
      <c r="FW2337" s="56"/>
      <c r="FX2337" s="56"/>
      <c r="FY2337" s="56"/>
      <c r="FZ2337" s="56"/>
      <c r="GA2337" s="56"/>
      <c r="GB2337" s="56"/>
      <c r="GC2337" s="56"/>
      <c r="GD2337" s="56"/>
      <c r="GE2337" s="56"/>
      <c r="GF2337" s="56"/>
    </row>
    <row r="2338" spans="1:48" s="18" customFormat="1" ht="15" customHeight="1">
      <c r="A2338" s="50"/>
      <c r="B2338" s="93" t="s">
        <v>669</v>
      </c>
      <c r="C2338" s="16"/>
      <c r="D2338" s="52"/>
      <c r="E2338" s="52"/>
      <c r="F2338" s="52"/>
      <c r="G2338" s="52"/>
      <c r="H2338" s="52"/>
      <c r="I2338" s="52"/>
      <c r="J2338" s="52"/>
      <c r="K2338" s="52"/>
      <c r="L2338" s="60">
        <f>L2339</f>
        <v>1</v>
      </c>
      <c r="M2338" s="60">
        <f>M2339</f>
        <v>1</v>
      </c>
      <c r="N2338" s="60">
        <f>N2339</f>
        <v>1</v>
      </c>
      <c r="O2338" s="60">
        <f>O2339</f>
        <v>1</v>
      </c>
      <c r="P2338" s="60">
        <f>P2339</f>
        <v>1</v>
      </c>
      <c r="Q2338" s="23"/>
      <c r="R2338" s="23"/>
      <c r="S2338" s="17"/>
      <c r="T2338" s="47"/>
      <c r="U2338" s="47"/>
      <c r="V2338" s="47"/>
      <c r="W2338" s="47"/>
      <c r="X2338" s="47"/>
      <c r="Y2338" s="47"/>
      <c r="Z2338" s="47"/>
      <c r="AA2338" s="47"/>
      <c r="AB2338" s="47"/>
      <c r="AC2338" s="47"/>
      <c r="AD2338" s="47"/>
      <c r="AE2338" s="47"/>
      <c r="AF2338" s="47"/>
      <c r="AG2338" s="47"/>
      <c r="AH2338" s="47"/>
      <c r="AI2338" s="47"/>
      <c r="AJ2338" s="47"/>
      <c r="AK2338" s="47"/>
      <c r="AL2338" s="47"/>
      <c r="AM2338" s="47"/>
      <c r="AN2338" s="47"/>
      <c r="AO2338" s="47"/>
      <c r="AP2338" s="47"/>
      <c r="AQ2338" s="47"/>
      <c r="AR2338" s="47"/>
      <c r="AS2338" s="47"/>
      <c r="AT2338" s="47"/>
      <c r="AU2338" s="47"/>
      <c r="AV2338" s="47"/>
    </row>
    <row r="2339" spans="1:48" s="27" customFormat="1" ht="15" customHeight="1">
      <c r="A2339" s="12"/>
      <c r="B2339" s="97" t="s">
        <v>555</v>
      </c>
      <c r="C2339" s="15" t="s">
        <v>445</v>
      </c>
      <c r="D2339" s="51"/>
      <c r="E2339" s="40"/>
      <c r="F2339" s="51"/>
      <c r="G2339" s="51">
        <v>11</v>
      </c>
      <c r="H2339" s="51">
        <v>12</v>
      </c>
      <c r="I2339" s="51">
        <v>12</v>
      </c>
      <c r="J2339" s="51">
        <v>12</v>
      </c>
      <c r="K2339" s="51">
        <v>13</v>
      </c>
      <c r="L2339" s="40">
        <v>1</v>
      </c>
      <c r="M2339" s="40">
        <v>1</v>
      </c>
      <c r="N2339" s="40">
        <v>1</v>
      </c>
      <c r="O2339" s="40">
        <v>1</v>
      </c>
      <c r="P2339" s="40">
        <v>1</v>
      </c>
      <c r="Q2339" s="30"/>
      <c r="R2339" s="30"/>
      <c r="S2339" s="30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</row>
    <row r="2340" spans="1:48" s="18" customFormat="1" ht="15.75" customHeight="1">
      <c r="A2340" s="50"/>
      <c r="B2340" s="93" t="s">
        <v>37</v>
      </c>
      <c r="C2340" s="16"/>
      <c r="D2340" s="52"/>
      <c r="E2340" s="52"/>
      <c r="F2340" s="52"/>
      <c r="G2340" s="52"/>
      <c r="H2340" s="52"/>
      <c r="I2340" s="52"/>
      <c r="J2340" s="52"/>
      <c r="K2340" s="52"/>
      <c r="L2340" s="60">
        <f>SUM(L2341:L2343)</f>
        <v>1</v>
      </c>
      <c r="M2340" s="60">
        <f>SUM(M2341:M2343)</f>
        <v>1</v>
      </c>
      <c r="N2340" s="60">
        <f>SUM(N2341:N2343)</f>
        <v>1</v>
      </c>
      <c r="O2340" s="60">
        <f>SUM(O2341:O2343)</f>
        <v>1</v>
      </c>
      <c r="P2340" s="60">
        <f>SUM(P2341:P2343)</f>
        <v>1</v>
      </c>
      <c r="Q2340" s="23"/>
      <c r="R2340" s="23"/>
      <c r="S2340" s="17"/>
      <c r="T2340" s="47"/>
      <c r="U2340" s="47"/>
      <c r="V2340" s="47"/>
      <c r="W2340" s="47"/>
      <c r="X2340" s="47"/>
      <c r="Y2340" s="47"/>
      <c r="Z2340" s="47"/>
      <c r="AA2340" s="47"/>
      <c r="AB2340" s="47"/>
      <c r="AC2340" s="47"/>
      <c r="AD2340" s="47"/>
      <c r="AE2340" s="47"/>
      <c r="AF2340" s="47"/>
      <c r="AG2340" s="47"/>
      <c r="AH2340" s="47"/>
      <c r="AI2340" s="47"/>
      <c r="AJ2340" s="47"/>
      <c r="AK2340" s="47"/>
      <c r="AL2340" s="47"/>
      <c r="AM2340" s="47"/>
      <c r="AN2340" s="47"/>
      <c r="AO2340" s="47"/>
      <c r="AP2340" s="47"/>
      <c r="AQ2340" s="47"/>
      <c r="AR2340" s="47"/>
      <c r="AS2340" s="47"/>
      <c r="AT2340" s="47"/>
      <c r="AU2340" s="47"/>
      <c r="AV2340" s="47"/>
    </row>
    <row r="2341" spans="1:48" s="27" customFormat="1" ht="18.75" customHeight="1">
      <c r="A2341" s="12"/>
      <c r="B2341" s="97" t="s">
        <v>38</v>
      </c>
      <c r="C2341" s="65" t="s">
        <v>457</v>
      </c>
      <c r="D2341" s="51"/>
      <c r="E2341" s="51"/>
      <c r="F2341" s="51">
        <v>89</v>
      </c>
      <c r="G2341" s="51">
        <v>1</v>
      </c>
      <c r="H2341" s="51">
        <v>1</v>
      </c>
      <c r="I2341" s="51">
        <v>1</v>
      </c>
      <c r="J2341" s="51"/>
      <c r="K2341" s="51">
        <v>1</v>
      </c>
      <c r="L2341" s="40" t="s">
        <v>556</v>
      </c>
      <c r="M2341" s="40">
        <v>1</v>
      </c>
      <c r="N2341" s="40" t="s">
        <v>556</v>
      </c>
      <c r="O2341" s="40" t="s">
        <v>556</v>
      </c>
      <c r="P2341" s="40">
        <v>1</v>
      </c>
      <c r="Q2341" s="33">
        <v>1</v>
      </c>
      <c r="R2341" s="28">
        <v>1</v>
      </c>
      <c r="S2341" s="28">
        <v>1</v>
      </c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</row>
    <row r="2342" spans="1:48" s="27" customFormat="1" ht="18.75" customHeight="1">
      <c r="A2342" s="12"/>
      <c r="B2342" s="111" t="s">
        <v>862</v>
      </c>
      <c r="C2342" s="15" t="s">
        <v>863</v>
      </c>
      <c r="D2342" s="51"/>
      <c r="E2342" s="51"/>
      <c r="F2342" s="51"/>
      <c r="G2342" s="51"/>
      <c r="H2342" s="51"/>
      <c r="I2342" s="51"/>
      <c r="J2342" s="51"/>
      <c r="K2342" s="51"/>
      <c r="L2342" s="40" t="s">
        <v>556</v>
      </c>
      <c r="M2342" s="40" t="s">
        <v>556</v>
      </c>
      <c r="N2342" s="40">
        <v>1</v>
      </c>
      <c r="O2342" s="40" t="s">
        <v>556</v>
      </c>
      <c r="P2342" s="40" t="s">
        <v>556</v>
      </c>
      <c r="Q2342" s="30"/>
      <c r="R2342" s="30"/>
      <c r="S2342" s="30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</row>
    <row r="2343" spans="1:48" s="27" customFormat="1" ht="16.5" customHeight="1">
      <c r="A2343" s="12"/>
      <c r="B2343" s="106" t="s">
        <v>40</v>
      </c>
      <c r="C2343" s="66" t="s">
        <v>39</v>
      </c>
      <c r="D2343" s="51"/>
      <c r="E2343" s="51"/>
      <c r="F2343" s="51"/>
      <c r="G2343" s="51"/>
      <c r="H2343" s="51"/>
      <c r="I2343" s="51"/>
      <c r="J2343" s="51"/>
      <c r="K2343" s="51"/>
      <c r="L2343" s="40">
        <v>1</v>
      </c>
      <c r="M2343" s="40" t="s">
        <v>556</v>
      </c>
      <c r="N2343" s="40" t="s">
        <v>556</v>
      </c>
      <c r="O2343" s="40">
        <v>1</v>
      </c>
      <c r="P2343" s="40" t="s">
        <v>556</v>
      </c>
      <c r="Q2343" s="30"/>
      <c r="R2343" s="30"/>
      <c r="S2343" s="30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</row>
    <row r="2344" spans="1:19" ht="15" customHeight="1">
      <c r="A2344" s="399" t="s">
        <v>657</v>
      </c>
      <c r="B2344" s="399"/>
      <c r="C2344" s="399"/>
      <c r="D2344" s="399"/>
      <c r="E2344" s="399"/>
      <c r="F2344" s="399"/>
      <c r="G2344" s="399"/>
      <c r="H2344" s="399"/>
      <c r="I2344" s="399"/>
      <c r="J2344" s="399"/>
      <c r="K2344" s="399"/>
      <c r="L2344" s="399"/>
      <c r="M2344" s="399"/>
      <c r="N2344" s="399"/>
      <c r="O2344" s="399"/>
      <c r="P2344" s="399"/>
      <c r="Q2344" s="20"/>
      <c r="R2344" s="20"/>
      <c r="S2344" s="7"/>
    </row>
    <row r="2345" spans="1:19" ht="13.5" customHeight="1">
      <c r="A2345" s="400" t="s">
        <v>676</v>
      </c>
      <c r="B2345" s="400"/>
      <c r="C2345" s="400"/>
      <c r="D2345" s="400"/>
      <c r="E2345" s="400"/>
      <c r="F2345" s="400"/>
      <c r="G2345" s="400"/>
      <c r="H2345" s="400"/>
      <c r="I2345" s="400"/>
      <c r="J2345" s="400"/>
      <c r="K2345" s="400"/>
      <c r="L2345" s="400"/>
      <c r="M2345" s="400"/>
      <c r="N2345" s="400"/>
      <c r="O2345" s="400"/>
      <c r="P2345" s="400"/>
      <c r="Q2345" s="21"/>
      <c r="R2345" s="21"/>
      <c r="S2345" s="8"/>
    </row>
    <row r="2346" spans="1:186" s="57" customFormat="1" ht="18.75" customHeight="1">
      <c r="A2346" s="13">
        <v>36</v>
      </c>
      <c r="B2346" s="108" t="s">
        <v>366</v>
      </c>
      <c r="C2346" s="45"/>
      <c r="D2346" s="44">
        <v>129</v>
      </c>
      <c r="E2346" s="44">
        <v>28</v>
      </c>
      <c r="F2346" s="44">
        <v>139</v>
      </c>
      <c r="G2346" s="44">
        <v>131</v>
      </c>
      <c r="H2346" s="44">
        <v>133</v>
      </c>
      <c r="I2346" s="44">
        <v>135</v>
      </c>
      <c r="J2346" s="44">
        <v>137</v>
      </c>
      <c r="K2346" s="44">
        <v>139</v>
      </c>
      <c r="L2346" s="44">
        <f aca="true" t="shared" si="73" ref="L2346:P2347">L2347</f>
        <v>2</v>
      </c>
      <c r="M2346" s="44">
        <f t="shared" si="73"/>
        <v>2</v>
      </c>
      <c r="N2346" s="44">
        <f t="shared" si="73"/>
        <v>2</v>
      </c>
      <c r="O2346" s="44">
        <f t="shared" si="73"/>
        <v>2</v>
      </c>
      <c r="P2346" s="44">
        <f t="shared" si="73"/>
        <v>2</v>
      </c>
      <c r="Q2346" s="54" t="s">
        <v>649</v>
      </c>
      <c r="R2346" s="54">
        <v>10</v>
      </c>
      <c r="S2346" s="55" t="s">
        <v>592</v>
      </c>
      <c r="T2346" s="56"/>
      <c r="U2346" s="56"/>
      <c r="V2346" s="56"/>
      <c r="W2346" s="56"/>
      <c r="X2346" s="56"/>
      <c r="Y2346" s="56"/>
      <c r="Z2346" s="56"/>
      <c r="AA2346" s="56"/>
      <c r="AB2346" s="56"/>
      <c r="AC2346" s="56"/>
      <c r="AD2346" s="56"/>
      <c r="AE2346" s="56"/>
      <c r="AF2346" s="56"/>
      <c r="AG2346" s="56"/>
      <c r="AH2346" s="56"/>
      <c r="AI2346" s="56"/>
      <c r="AJ2346" s="56"/>
      <c r="AK2346" s="56"/>
      <c r="AL2346" s="56"/>
      <c r="AM2346" s="56"/>
      <c r="AN2346" s="56"/>
      <c r="AO2346" s="56"/>
      <c r="AP2346" s="56"/>
      <c r="AQ2346" s="56"/>
      <c r="AR2346" s="56"/>
      <c r="AS2346" s="56"/>
      <c r="AT2346" s="56"/>
      <c r="AU2346" s="56"/>
      <c r="AV2346" s="56"/>
      <c r="AW2346" s="56"/>
      <c r="AX2346" s="56"/>
      <c r="AY2346" s="56"/>
      <c r="AZ2346" s="56"/>
      <c r="BA2346" s="56"/>
      <c r="BB2346" s="56"/>
      <c r="BC2346" s="56"/>
      <c r="BD2346" s="56"/>
      <c r="BE2346" s="56"/>
      <c r="BF2346" s="56"/>
      <c r="BG2346" s="56"/>
      <c r="BH2346" s="56"/>
      <c r="BI2346" s="56"/>
      <c r="BJ2346" s="56"/>
      <c r="BK2346" s="56"/>
      <c r="BL2346" s="56"/>
      <c r="BM2346" s="56"/>
      <c r="BN2346" s="56"/>
      <c r="BO2346" s="56"/>
      <c r="BP2346" s="56"/>
      <c r="BQ2346" s="56"/>
      <c r="BR2346" s="56"/>
      <c r="BS2346" s="56"/>
      <c r="BT2346" s="56"/>
      <c r="BU2346" s="56"/>
      <c r="BV2346" s="56"/>
      <c r="BW2346" s="56"/>
      <c r="BX2346" s="56"/>
      <c r="BY2346" s="56"/>
      <c r="BZ2346" s="56"/>
      <c r="CA2346" s="56"/>
      <c r="CB2346" s="56"/>
      <c r="CC2346" s="56"/>
      <c r="CD2346" s="56"/>
      <c r="CE2346" s="56"/>
      <c r="CF2346" s="56"/>
      <c r="CG2346" s="56"/>
      <c r="CH2346" s="56"/>
      <c r="CI2346" s="56"/>
      <c r="CJ2346" s="56"/>
      <c r="CK2346" s="56"/>
      <c r="CL2346" s="56"/>
      <c r="CM2346" s="56"/>
      <c r="CN2346" s="56"/>
      <c r="CO2346" s="56"/>
      <c r="CP2346" s="56"/>
      <c r="CQ2346" s="56"/>
      <c r="CR2346" s="56"/>
      <c r="CS2346" s="56"/>
      <c r="CT2346" s="56"/>
      <c r="CU2346" s="56"/>
      <c r="CV2346" s="56"/>
      <c r="CW2346" s="56"/>
      <c r="CX2346" s="56"/>
      <c r="CY2346" s="56"/>
      <c r="CZ2346" s="56"/>
      <c r="DA2346" s="56"/>
      <c r="DB2346" s="56"/>
      <c r="DC2346" s="56"/>
      <c r="DD2346" s="56"/>
      <c r="DE2346" s="56"/>
      <c r="DF2346" s="56"/>
      <c r="DG2346" s="56"/>
      <c r="DH2346" s="56"/>
      <c r="DI2346" s="56"/>
      <c r="DJ2346" s="56"/>
      <c r="DK2346" s="56"/>
      <c r="DL2346" s="56"/>
      <c r="DM2346" s="56"/>
      <c r="DN2346" s="56"/>
      <c r="DO2346" s="56"/>
      <c r="DP2346" s="56"/>
      <c r="DQ2346" s="56"/>
      <c r="DR2346" s="56"/>
      <c r="DS2346" s="56"/>
      <c r="DT2346" s="56"/>
      <c r="DU2346" s="56"/>
      <c r="DV2346" s="56"/>
      <c r="DW2346" s="56"/>
      <c r="DX2346" s="56"/>
      <c r="DY2346" s="56"/>
      <c r="DZ2346" s="56"/>
      <c r="EA2346" s="56"/>
      <c r="EB2346" s="56"/>
      <c r="EC2346" s="56"/>
      <c r="ED2346" s="56"/>
      <c r="EE2346" s="56"/>
      <c r="EF2346" s="56"/>
      <c r="EG2346" s="56"/>
      <c r="EH2346" s="56"/>
      <c r="EI2346" s="56"/>
      <c r="EJ2346" s="56"/>
      <c r="EK2346" s="56"/>
      <c r="EL2346" s="56"/>
      <c r="EM2346" s="56"/>
      <c r="EN2346" s="56"/>
      <c r="EO2346" s="56"/>
      <c r="EP2346" s="56"/>
      <c r="EQ2346" s="56"/>
      <c r="ER2346" s="56"/>
      <c r="ES2346" s="56"/>
      <c r="ET2346" s="56"/>
      <c r="EU2346" s="56"/>
      <c r="EV2346" s="56"/>
      <c r="EW2346" s="56"/>
      <c r="EX2346" s="56"/>
      <c r="EY2346" s="56"/>
      <c r="EZ2346" s="56"/>
      <c r="FA2346" s="56"/>
      <c r="FB2346" s="56"/>
      <c r="FC2346" s="56"/>
      <c r="FD2346" s="56"/>
      <c r="FE2346" s="56"/>
      <c r="FF2346" s="56"/>
      <c r="FG2346" s="56"/>
      <c r="FH2346" s="56"/>
      <c r="FI2346" s="56"/>
      <c r="FJ2346" s="56"/>
      <c r="FK2346" s="56"/>
      <c r="FL2346" s="56"/>
      <c r="FM2346" s="56"/>
      <c r="FN2346" s="56"/>
      <c r="FO2346" s="56"/>
      <c r="FP2346" s="56"/>
      <c r="FQ2346" s="56"/>
      <c r="FR2346" s="56"/>
      <c r="FS2346" s="56"/>
      <c r="FT2346" s="56"/>
      <c r="FU2346" s="56"/>
      <c r="FV2346" s="56"/>
      <c r="FW2346" s="56"/>
      <c r="FX2346" s="56"/>
      <c r="FY2346" s="56"/>
      <c r="FZ2346" s="56"/>
      <c r="GA2346" s="56"/>
      <c r="GB2346" s="56"/>
      <c r="GC2346" s="56"/>
      <c r="GD2346" s="56"/>
    </row>
    <row r="2347" spans="1:48" s="18" customFormat="1" ht="18.75" customHeight="1">
      <c r="A2347" s="50"/>
      <c r="B2347" s="93" t="s">
        <v>669</v>
      </c>
      <c r="C2347" s="16"/>
      <c r="D2347" s="52"/>
      <c r="E2347" s="52"/>
      <c r="F2347" s="52"/>
      <c r="G2347" s="52"/>
      <c r="H2347" s="52"/>
      <c r="I2347" s="52"/>
      <c r="J2347" s="52"/>
      <c r="K2347" s="52"/>
      <c r="L2347" s="60">
        <f t="shared" si="73"/>
        <v>2</v>
      </c>
      <c r="M2347" s="60">
        <f t="shared" si="73"/>
        <v>2</v>
      </c>
      <c r="N2347" s="60">
        <f t="shared" si="73"/>
        <v>2</v>
      </c>
      <c r="O2347" s="60">
        <f t="shared" si="73"/>
        <v>2</v>
      </c>
      <c r="P2347" s="60">
        <f t="shared" si="73"/>
        <v>2</v>
      </c>
      <c r="Q2347" s="23"/>
      <c r="R2347" s="23"/>
      <c r="S2347" s="17"/>
      <c r="T2347" s="47"/>
      <c r="U2347" s="47"/>
      <c r="V2347" s="47"/>
      <c r="W2347" s="47"/>
      <c r="X2347" s="47"/>
      <c r="Y2347" s="47"/>
      <c r="Z2347" s="47"/>
      <c r="AA2347" s="47"/>
      <c r="AB2347" s="47"/>
      <c r="AC2347" s="47"/>
      <c r="AD2347" s="47"/>
      <c r="AE2347" s="47"/>
      <c r="AF2347" s="47"/>
      <c r="AG2347" s="47"/>
      <c r="AH2347" s="47"/>
      <c r="AI2347" s="47"/>
      <c r="AJ2347" s="47"/>
      <c r="AK2347" s="47"/>
      <c r="AL2347" s="47"/>
      <c r="AM2347" s="47"/>
      <c r="AN2347" s="47"/>
      <c r="AO2347" s="47"/>
      <c r="AP2347" s="47"/>
      <c r="AQ2347" s="47"/>
      <c r="AR2347" s="47"/>
      <c r="AS2347" s="47"/>
      <c r="AT2347" s="47"/>
      <c r="AU2347" s="47"/>
      <c r="AV2347" s="47"/>
    </row>
    <row r="2348" spans="1:48" s="27" customFormat="1" ht="18.75" customHeight="1">
      <c r="A2348" s="12"/>
      <c r="B2348" s="97" t="s">
        <v>555</v>
      </c>
      <c r="C2348" s="29" t="s">
        <v>445</v>
      </c>
      <c r="D2348" s="51"/>
      <c r="E2348" s="51"/>
      <c r="F2348" s="51">
        <v>89</v>
      </c>
      <c r="G2348" s="51">
        <v>43</v>
      </c>
      <c r="H2348" s="51">
        <v>47</v>
      </c>
      <c r="I2348" s="51">
        <v>49</v>
      </c>
      <c r="J2348" s="51">
        <v>52</v>
      </c>
      <c r="K2348" s="51">
        <v>55</v>
      </c>
      <c r="L2348" s="40">
        <v>2</v>
      </c>
      <c r="M2348" s="40">
        <v>2</v>
      </c>
      <c r="N2348" s="40">
        <v>2</v>
      </c>
      <c r="O2348" s="40">
        <v>2</v>
      </c>
      <c r="P2348" s="40">
        <v>2</v>
      </c>
      <c r="Q2348" s="33">
        <v>1</v>
      </c>
      <c r="R2348" s="28">
        <v>1</v>
      </c>
      <c r="S2348" s="28">
        <v>1</v>
      </c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</row>
    <row r="2349" spans="1:186" s="57" customFormat="1" ht="18.75" customHeight="1">
      <c r="A2349" s="13">
        <v>37</v>
      </c>
      <c r="B2349" s="108" t="s">
        <v>63</v>
      </c>
      <c r="C2349" s="45"/>
      <c r="D2349" s="44">
        <v>159</v>
      </c>
      <c r="E2349" s="44">
        <v>5</v>
      </c>
      <c r="F2349" s="44"/>
      <c r="G2349" s="44">
        <v>162</v>
      </c>
      <c r="H2349" s="44">
        <v>162</v>
      </c>
      <c r="I2349" s="44">
        <v>162</v>
      </c>
      <c r="J2349" s="44">
        <v>162</v>
      </c>
      <c r="K2349" s="44">
        <v>162</v>
      </c>
      <c r="L2349" s="44">
        <f>L2350</f>
        <v>3</v>
      </c>
      <c r="M2349" s="44" t="str">
        <f>M2350</f>
        <v> -</v>
      </c>
      <c r="N2349" s="44" t="str">
        <f>N2350</f>
        <v> -</v>
      </c>
      <c r="O2349" s="44" t="str">
        <f>O2350</f>
        <v> -</v>
      </c>
      <c r="P2349" s="44" t="str">
        <f>P2350</f>
        <v> -</v>
      </c>
      <c r="Q2349" s="54" t="s">
        <v>649</v>
      </c>
      <c r="R2349" s="54">
        <v>10</v>
      </c>
      <c r="S2349" s="55" t="s">
        <v>592</v>
      </c>
      <c r="T2349" s="56"/>
      <c r="U2349" s="56"/>
      <c r="V2349" s="56"/>
      <c r="W2349" s="56"/>
      <c r="X2349" s="56"/>
      <c r="Y2349" s="56"/>
      <c r="Z2349" s="56"/>
      <c r="AA2349" s="56"/>
      <c r="AB2349" s="56"/>
      <c r="AC2349" s="56"/>
      <c r="AD2349" s="56"/>
      <c r="AE2349" s="56"/>
      <c r="AF2349" s="56"/>
      <c r="AG2349" s="56"/>
      <c r="AH2349" s="56"/>
      <c r="AI2349" s="56"/>
      <c r="AJ2349" s="56"/>
      <c r="AK2349" s="56"/>
      <c r="AL2349" s="56"/>
      <c r="AM2349" s="56"/>
      <c r="AN2349" s="56"/>
      <c r="AO2349" s="56"/>
      <c r="AP2349" s="56"/>
      <c r="AQ2349" s="56"/>
      <c r="AR2349" s="56"/>
      <c r="AS2349" s="56"/>
      <c r="AT2349" s="56"/>
      <c r="AU2349" s="56"/>
      <c r="AV2349" s="56"/>
      <c r="AW2349" s="56"/>
      <c r="AX2349" s="56"/>
      <c r="AY2349" s="56"/>
      <c r="AZ2349" s="56"/>
      <c r="BA2349" s="56"/>
      <c r="BB2349" s="56"/>
      <c r="BC2349" s="56"/>
      <c r="BD2349" s="56"/>
      <c r="BE2349" s="56"/>
      <c r="BF2349" s="56"/>
      <c r="BG2349" s="56"/>
      <c r="BH2349" s="56"/>
      <c r="BI2349" s="56"/>
      <c r="BJ2349" s="56"/>
      <c r="BK2349" s="56"/>
      <c r="BL2349" s="56"/>
      <c r="BM2349" s="56"/>
      <c r="BN2349" s="56"/>
      <c r="BO2349" s="56"/>
      <c r="BP2349" s="56"/>
      <c r="BQ2349" s="56"/>
      <c r="BR2349" s="56"/>
      <c r="BS2349" s="56"/>
      <c r="BT2349" s="56"/>
      <c r="BU2349" s="56"/>
      <c r="BV2349" s="56"/>
      <c r="BW2349" s="56"/>
      <c r="BX2349" s="56"/>
      <c r="BY2349" s="56"/>
      <c r="BZ2349" s="56"/>
      <c r="CA2349" s="56"/>
      <c r="CB2349" s="56"/>
      <c r="CC2349" s="56"/>
      <c r="CD2349" s="56"/>
      <c r="CE2349" s="56"/>
      <c r="CF2349" s="56"/>
      <c r="CG2349" s="56"/>
      <c r="CH2349" s="56"/>
      <c r="CI2349" s="56"/>
      <c r="CJ2349" s="56"/>
      <c r="CK2349" s="56"/>
      <c r="CL2349" s="56"/>
      <c r="CM2349" s="56"/>
      <c r="CN2349" s="56"/>
      <c r="CO2349" s="56"/>
      <c r="CP2349" s="56"/>
      <c r="CQ2349" s="56"/>
      <c r="CR2349" s="56"/>
      <c r="CS2349" s="56"/>
      <c r="CT2349" s="56"/>
      <c r="CU2349" s="56"/>
      <c r="CV2349" s="56"/>
      <c r="CW2349" s="56"/>
      <c r="CX2349" s="56"/>
      <c r="CY2349" s="56"/>
      <c r="CZ2349" s="56"/>
      <c r="DA2349" s="56"/>
      <c r="DB2349" s="56"/>
      <c r="DC2349" s="56"/>
      <c r="DD2349" s="56"/>
      <c r="DE2349" s="56"/>
      <c r="DF2349" s="56"/>
      <c r="DG2349" s="56"/>
      <c r="DH2349" s="56"/>
      <c r="DI2349" s="56"/>
      <c r="DJ2349" s="56"/>
      <c r="DK2349" s="56"/>
      <c r="DL2349" s="56"/>
      <c r="DM2349" s="56"/>
      <c r="DN2349" s="56"/>
      <c r="DO2349" s="56"/>
      <c r="DP2349" s="56"/>
      <c r="DQ2349" s="56"/>
      <c r="DR2349" s="56"/>
      <c r="DS2349" s="56"/>
      <c r="DT2349" s="56"/>
      <c r="DU2349" s="56"/>
      <c r="DV2349" s="56"/>
      <c r="DW2349" s="56"/>
      <c r="DX2349" s="56"/>
      <c r="DY2349" s="56"/>
      <c r="DZ2349" s="56"/>
      <c r="EA2349" s="56"/>
      <c r="EB2349" s="56"/>
      <c r="EC2349" s="56"/>
      <c r="ED2349" s="56"/>
      <c r="EE2349" s="56"/>
      <c r="EF2349" s="56"/>
      <c r="EG2349" s="56"/>
      <c r="EH2349" s="56"/>
      <c r="EI2349" s="56"/>
      <c r="EJ2349" s="56"/>
      <c r="EK2349" s="56"/>
      <c r="EL2349" s="56"/>
      <c r="EM2349" s="56"/>
      <c r="EN2349" s="56"/>
      <c r="EO2349" s="56"/>
      <c r="EP2349" s="56"/>
      <c r="EQ2349" s="56"/>
      <c r="ER2349" s="56"/>
      <c r="ES2349" s="56"/>
      <c r="ET2349" s="56"/>
      <c r="EU2349" s="56"/>
      <c r="EV2349" s="56"/>
      <c r="EW2349" s="56"/>
      <c r="EX2349" s="56"/>
      <c r="EY2349" s="56"/>
      <c r="EZ2349" s="56"/>
      <c r="FA2349" s="56"/>
      <c r="FB2349" s="56"/>
      <c r="FC2349" s="56"/>
      <c r="FD2349" s="56"/>
      <c r="FE2349" s="56"/>
      <c r="FF2349" s="56"/>
      <c r="FG2349" s="56"/>
      <c r="FH2349" s="56"/>
      <c r="FI2349" s="56"/>
      <c r="FJ2349" s="56"/>
      <c r="FK2349" s="56"/>
      <c r="FL2349" s="56"/>
      <c r="FM2349" s="56"/>
      <c r="FN2349" s="56"/>
      <c r="FO2349" s="56"/>
      <c r="FP2349" s="56"/>
      <c r="FQ2349" s="56"/>
      <c r="FR2349" s="56"/>
      <c r="FS2349" s="56"/>
      <c r="FT2349" s="56"/>
      <c r="FU2349" s="56"/>
      <c r="FV2349" s="56"/>
      <c r="FW2349" s="56"/>
      <c r="FX2349" s="56"/>
      <c r="FY2349" s="56"/>
      <c r="FZ2349" s="56"/>
      <c r="GA2349" s="56"/>
      <c r="GB2349" s="56"/>
      <c r="GC2349" s="56"/>
      <c r="GD2349" s="56"/>
    </row>
    <row r="2350" spans="1:48" s="18" customFormat="1" ht="18.75" customHeight="1">
      <c r="A2350" s="50"/>
      <c r="B2350" s="93" t="s">
        <v>670</v>
      </c>
      <c r="C2350" s="16"/>
      <c r="D2350" s="52"/>
      <c r="E2350" s="52"/>
      <c r="F2350" s="52"/>
      <c r="G2350" s="52"/>
      <c r="H2350" s="52"/>
      <c r="I2350" s="52"/>
      <c r="J2350" s="52"/>
      <c r="K2350" s="52"/>
      <c r="L2350" s="60">
        <v>3</v>
      </c>
      <c r="M2350" s="60" t="str">
        <f>M2351</f>
        <v> -</v>
      </c>
      <c r="N2350" s="60" t="str">
        <f>N2351</f>
        <v> -</v>
      </c>
      <c r="O2350" s="60" t="str">
        <f>O2351</f>
        <v> -</v>
      </c>
      <c r="P2350" s="60" t="str">
        <f>P2351</f>
        <v> -</v>
      </c>
      <c r="Q2350" s="23"/>
      <c r="R2350" s="23"/>
      <c r="S2350" s="17"/>
      <c r="T2350" s="47"/>
      <c r="U2350" s="47"/>
      <c r="V2350" s="47"/>
      <c r="W2350" s="47"/>
      <c r="X2350" s="47"/>
      <c r="Y2350" s="47"/>
      <c r="Z2350" s="47"/>
      <c r="AA2350" s="47"/>
      <c r="AB2350" s="47"/>
      <c r="AC2350" s="47"/>
      <c r="AD2350" s="47"/>
      <c r="AE2350" s="47"/>
      <c r="AF2350" s="47"/>
      <c r="AG2350" s="47"/>
      <c r="AH2350" s="47"/>
      <c r="AI2350" s="47"/>
      <c r="AJ2350" s="47"/>
      <c r="AK2350" s="47"/>
      <c r="AL2350" s="47"/>
      <c r="AM2350" s="47"/>
      <c r="AN2350" s="47"/>
      <c r="AO2350" s="47"/>
      <c r="AP2350" s="47"/>
      <c r="AQ2350" s="47"/>
      <c r="AR2350" s="47"/>
      <c r="AS2350" s="47"/>
      <c r="AT2350" s="47"/>
      <c r="AU2350" s="47"/>
      <c r="AV2350" s="47"/>
    </row>
    <row r="2351" spans="1:48" s="27" customFormat="1" ht="18.75" customHeight="1">
      <c r="A2351" s="12"/>
      <c r="B2351" s="97" t="s">
        <v>1285</v>
      </c>
      <c r="C2351" s="15" t="s">
        <v>1286</v>
      </c>
      <c r="D2351" s="51"/>
      <c r="E2351" s="51"/>
      <c r="F2351" s="51"/>
      <c r="G2351" s="51"/>
      <c r="H2351" s="51"/>
      <c r="I2351" s="51"/>
      <c r="J2351" s="51"/>
      <c r="K2351" s="51"/>
      <c r="L2351" s="40">
        <v>2</v>
      </c>
      <c r="M2351" s="40" t="s">
        <v>556</v>
      </c>
      <c r="N2351" s="40" t="s">
        <v>556</v>
      </c>
      <c r="O2351" s="40" t="s">
        <v>556</v>
      </c>
      <c r="P2351" s="40" t="s">
        <v>556</v>
      </c>
      <c r="Q2351" s="33">
        <v>1</v>
      </c>
      <c r="R2351" s="28">
        <v>1</v>
      </c>
      <c r="S2351" s="28">
        <v>1</v>
      </c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</row>
    <row r="2352" spans="1:48" s="27" customFormat="1" ht="18.75" customHeight="1">
      <c r="A2352" s="12"/>
      <c r="B2352" s="105" t="s">
        <v>570</v>
      </c>
      <c r="C2352" s="15" t="s">
        <v>571</v>
      </c>
      <c r="D2352" s="51"/>
      <c r="E2352" s="51"/>
      <c r="F2352" s="51"/>
      <c r="G2352" s="51"/>
      <c r="H2352" s="51"/>
      <c r="I2352" s="51"/>
      <c r="J2352" s="51"/>
      <c r="K2352" s="51"/>
      <c r="L2352" s="40">
        <v>1</v>
      </c>
      <c r="M2352" s="40" t="s">
        <v>556</v>
      </c>
      <c r="N2352" s="40" t="s">
        <v>556</v>
      </c>
      <c r="O2352" s="40" t="s">
        <v>556</v>
      </c>
      <c r="P2352" s="40" t="s">
        <v>556</v>
      </c>
      <c r="Q2352" s="30"/>
      <c r="R2352" s="30"/>
      <c r="S2352" s="30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</row>
    <row r="2353" spans="1:19" ht="13.5" customHeight="1">
      <c r="A2353" s="400" t="s">
        <v>909</v>
      </c>
      <c r="B2353" s="400"/>
      <c r="C2353" s="400"/>
      <c r="D2353" s="400"/>
      <c r="E2353" s="400"/>
      <c r="F2353" s="400"/>
      <c r="G2353" s="400"/>
      <c r="H2353" s="400"/>
      <c r="I2353" s="400"/>
      <c r="J2353" s="400"/>
      <c r="K2353" s="400"/>
      <c r="L2353" s="400"/>
      <c r="M2353" s="400"/>
      <c r="N2353" s="400"/>
      <c r="O2353" s="400"/>
      <c r="P2353" s="400"/>
      <c r="Q2353" s="21"/>
      <c r="R2353" s="21"/>
      <c r="S2353" s="8"/>
    </row>
    <row r="2354" spans="1:186" s="57" customFormat="1" ht="18.75" customHeight="1">
      <c r="A2354" s="13">
        <v>38</v>
      </c>
      <c r="B2354" s="108" t="s">
        <v>953</v>
      </c>
      <c r="C2354" s="45"/>
      <c r="D2354" s="44">
        <v>44</v>
      </c>
      <c r="E2354" s="44">
        <v>6</v>
      </c>
      <c r="F2354" s="44">
        <v>139</v>
      </c>
      <c r="G2354" s="44">
        <v>131</v>
      </c>
      <c r="H2354" s="44">
        <v>133</v>
      </c>
      <c r="I2354" s="44">
        <v>135</v>
      </c>
      <c r="J2354" s="44">
        <v>137</v>
      </c>
      <c r="K2354" s="44">
        <v>139</v>
      </c>
      <c r="L2354" s="44">
        <v>2</v>
      </c>
      <c r="M2354" s="44" t="str">
        <f>M2355</f>
        <v> -</v>
      </c>
      <c r="N2354" s="44">
        <v>2</v>
      </c>
      <c r="O2354" s="44" t="str">
        <f>O2355</f>
        <v> -</v>
      </c>
      <c r="P2354" s="44" t="str">
        <f>P2355</f>
        <v> -</v>
      </c>
      <c r="Q2354" s="54" t="s">
        <v>649</v>
      </c>
      <c r="R2354" s="54">
        <v>10</v>
      </c>
      <c r="S2354" s="55" t="s">
        <v>592</v>
      </c>
      <c r="T2354" s="56"/>
      <c r="U2354" s="56"/>
      <c r="V2354" s="56"/>
      <c r="W2354" s="56"/>
      <c r="X2354" s="56"/>
      <c r="Y2354" s="56"/>
      <c r="Z2354" s="56"/>
      <c r="AA2354" s="56"/>
      <c r="AB2354" s="56"/>
      <c r="AC2354" s="56"/>
      <c r="AD2354" s="56"/>
      <c r="AE2354" s="56"/>
      <c r="AF2354" s="56"/>
      <c r="AG2354" s="56"/>
      <c r="AH2354" s="56"/>
      <c r="AI2354" s="56"/>
      <c r="AJ2354" s="56"/>
      <c r="AK2354" s="56"/>
      <c r="AL2354" s="56"/>
      <c r="AM2354" s="56"/>
      <c r="AN2354" s="56"/>
      <c r="AO2354" s="56"/>
      <c r="AP2354" s="56"/>
      <c r="AQ2354" s="56"/>
      <c r="AR2354" s="56"/>
      <c r="AS2354" s="56"/>
      <c r="AT2354" s="56"/>
      <c r="AU2354" s="56"/>
      <c r="AV2354" s="56"/>
      <c r="AW2354" s="56"/>
      <c r="AX2354" s="56"/>
      <c r="AY2354" s="56"/>
      <c r="AZ2354" s="56"/>
      <c r="BA2354" s="56"/>
      <c r="BB2354" s="56"/>
      <c r="BC2354" s="56"/>
      <c r="BD2354" s="56"/>
      <c r="BE2354" s="56"/>
      <c r="BF2354" s="56"/>
      <c r="BG2354" s="56"/>
      <c r="BH2354" s="56"/>
      <c r="BI2354" s="56"/>
      <c r="BJ2354" s="56"/>
      <c r="BK2354" s="56"/>
      <c r="BL2354" s="56"/>
      <c r="BM2354" s="56"/>
      <c r="BN2354" s="56"/>
      <c r="BO2354" s="56"/>
      <c r="BP2354" s="56"/>
      <c r="BQ2354" s="56"/>
      <c r="BR2354" s="56"/>
      <c r="BS2354" s="56"/>
      <c r="BT2354" s="56"/>
      <c r="BU2354" s="56"/>
      <c r="BV2354" s="56"/>
      <c r="BW2354" s="56"/>
      <c r="BX2354" s="56"/>
      <c r="BY2354" s="56"/>
      <c r="BZ2354" s="56"/>
      <c r="CA2354" s="56"/>
      <c r="CB2354" s="56"/>
      <c r="CC2354" s="56"/>
      <c r="CD2354" s="56"/>
      <c r="CE2354" s="56"/>
      <c r="CF2354" s="56"/>
      <c r="CG2354" s="56"/>
      <c r="CH2354" s="56"/>
      <c r="CI2354" s="56"/>
      <c r="CJ2354" s="56"/>
      <c r="CK2354" s="56"/>
      <c r="CL2354" s="56"/>
      <c r="CM2354" s="56"/>
      <c r="CN2354" s="56"/>
      <c r="CO2354" s="56"/>
      <c r="CP2354" s="56"/>
      <c r="CQ2354" s="56"/>
      <c r="CR2354" s="56"/>
      <c r="CS2354" s="56"/>
      <c r="CT2354" s="56"/>
      <c r="CU2354" s="56"/>
      <c r="CV2354" s="56"/>
      <c r="CW2354" s="56"/>
      <c r="CX2354" s="56"/>
      <c r="CY2354" s="56"/>
      <c r="CZ2354" s="56"/>
      <c r="DA2354" s="56"/>
      <c r="DB2354" s="56"/>
      <c r="DC2354" s="56"/>
      <c r="DD2354" s="56"/>
      <c r="DE2354" s="56"/>
      <c r="DF2354" s="56"/>
      <c r="DG2354" s="56"/>
      <c r="DH2354" s="56"/>
      <c r="DI2354" s="56"/>
      <c r="DJ2354" s="56"/>
      <c r="DK2354" s="56"/>
      <c r="DL2354" s="56"/>
      <c r="DM2354" s="56"/>
      <c r="DN2354" s="56"/>
      <c r="DO2354" s="56"/>
      <c r="DP2354" s="56"/>
      <c r="DQ2354" s="56"/>
      <c r="DR2354" s="56"/>
      <c r="DS2354" s="56"/>
      <c r="DT2354" s="56"/>
      <c r="DU2354" s="56"/>
      <c r="DV2354" s="56"/>
      <c r="DW2354" s="56"/>
      <c r="DX2354" s="56"/>
      <c r="DY2354" s="56"/>
      <c r="DZ2354" s="56"/>
      <c r="EA2354" s="56"/>
      <c r="EB2354" s="56"/>
      <c r="EC2354" s="56"/>
      <c r="ED2354" s="56"/>
      <c r="EE2354" s="56"/>
      <c r="EF2354" s="56"/>
      <c r="EG2354" s="56"/>
      <c r="EH2354" s="56"/>
      <c r="EI2354" s="56"/>
      <c r="EJ2354" s="56"/>
      <c r="EK2354" s="56"/>
      <c r="EL2354" s="56"/>
      <c r="EM2354" s="56"/>
      <c r="EN2354" s="56"/>
      <c r="EO2354" s="56"/>
      <c r="EP2354" s="56"/>
      <c r="EQ2354" s="56"/>
      <c r="ER2354" s="56"/>
      <c r="ES2354" s="56"/>
      <c r="ET2354" s="56"/>
      <c r="EU2354" s="56"/>
      <c r="EV2354" s="56"/>
      <c r="EW2354" s="56"/>
      <c r="EX2354" s="56"/>
      <c r="EY2354" s="56"/>
      <c r="EZ2354" s="56"/>
      <c r="FA2354" s="56"/>
      <c r="FB2354" s="56"/>
      <c r="FC2354" s="56"/>
      <c r="FD2354" s="56"/>
      <c r="FE2354" s="56"/>
      <c r="FF2354" s="56"/>
      <c r="FG2354" s="56"/>
      <c r="FH2354" s="56"/>
      <c r="FI2354" s="56"/>
      <c r="FJ2354" s="56"/>
      <c r="FK2354" s="56"/>
      <c r="FL2354" s="56"/>
      <c r="FM2354" s="56"/>
      <c r="FN2354" s="56"/>
      <c r="FO2354" s="56"/>
      <c r="FP2354" s="56"/>
      <c r="FQ2354" s="56"/>
      <c r="FR2354" s="56"/>
      <c r="FS2354" s="56"/>
      <c r="FT2354" s="56"/>
      <c r="FU2354" s="56"/>
      <c r="FV2354" s="56"/>
      <c r="FW2354" s="56"/>
      <c r="FX2354" s="56"/>
      <c r="FY2354" s="56"/>
      <c r="FZ2354" s="56"/>
      <c r="GA2354" s="56"/>
      <c r="GB2354" s="56"/>
      <c r="GC2354" s="56"/>
      <c r="GD2354" s="56"/>
    </row>
    <row r="2355" spans="1:48" s="18" customFormat="1" ht="18.75" customHeight="1">
      <c r="A2355" s="50"/>
      <c r="B2355" s="93" t="s">
        <v>669</v>
      </c>
      <c r="C2355" s="16"/>
      <c r="D2355" s="52"/>
      <c r="E2355" s="52"/>
      <c r="F2355" s="52"/>
      <c r="G2355" s="52"/>
      <c r="H2355" s="52"/>
      <c r="I2355" s="52"/>
      <c r="J2355" s="52"/>
      <c r="K2355" s="52"/>
      <c r="L2355" s="60">
        <f>L2356</f>
        <v>1</v>
      </c>
      <c r="M2355" s="60" t="str">
        <f>M2356</f>
        <v> -</v>
      </c>
      <c r="N2355" s="60">
        <f>N2356</f>
        <v>1</v>
      </c>
      <c r="O2355" s="60" t="str">
        <f>O2356</f>
        <v> -</v>
      </c>
      <c r="P2355" s="60" t="str">
        <f>P2356</f>
        <v> -</v>
      </c>
      <c r="Q2355" s="23"/>
      <c r="R2355" s="23"/>
      <c r="S2355" s="17"/>
      <c r="T2355" s="47"/>
      <c r="U2355" s="47"/>
      <c r="V2355" s="47"/>
      <c r="W2355" s="47"/>
      <c r="X2355" s="47"/>
      <c r="Y2355" s="47"/>
      <c r="Z2355" s="47"/>
      <c r="AA2355" s="47"/>
      <c r="AB2355" s="47"/>
      <c r="AC2355" s="47"/>
      <c r="AD2355" s="47"/>
      <c r="AE2355" s="47"/>
      <c r="AF2355" s="47"/>
      <c r="AG2355" s="47"/>
      <c r="AH2355" s="47"/>
      <c r="AI2355" s="47"/>
      <c r="AJ2355" s="47"/>
      <c r="AK2355" s="47"/>
      <c r="AL2355" s="47"/>
      <c r="AM2355" s="47"/>
      <c r="AN2355" s="47"/>
      <c r="AO2355" s="47"/>
      <c r="AP2355" s="47"/>
      <c r="AQ2355" s="47"/>
      <c r="AR2355" s="47"/>
      <c r="AS2355" s="47"/>
      <c r="AT2355" s="47"/>
      <c r="AU2355" s="47"/>
      <c r="AV2355" s="47"/>
    </row>
    <row r="2356" spans="1:48" s="27" customFormat="1" ht="18.75" customHeight="1">
      <c r="A2356" s="12"/>
      <c r="B2356" s="97" t="s">
        <v>555</v>
      </c>
      <c r="C2356" s="29" t="s">
        <v>445</v>
      </c>
      <c r="D2356" s="51"/>
      <c r="E2356" s="51"/>
      <c r="F2356" s="51">
        <v>89</v>
      </c>
      <c r="G2356" s="51">
        <v>43</v>
      </c>
      <c r="H2356" s="51">
        <v>47</v>
      </c>
      <c r="I2356" s="51">
        <v>49</v>
      </c>
      <c r="J2356" s="51">
        <v>52</v>
      </c>
      <c r="K2356" s="51">
        <v>55</v>
      </c>
      <c r="L2356" s="40">
        <v>1</v>
      </c>
      <c r="M2356" s="40" t="s">
        <v>556</v>
      </c>
      <c r="N2356" s="40">
        <v>1</v>
      </c>
      <c r="O2356" s="40" t="s">
        <v>556</v>
      </c>
      <c r="P2356" s="40" t="s">
        <v>556</v>
      </c>
      <c r="Q2356" s="33">
        <v>1</v>
      </c>
      <c r="R2356" s="28">
        <v>1</v>
      </c>
      <c r="S2356" s="28">
        <v>1</v>
      </c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</row>
    <row r="2357" spans="1:48" s="18" customFormat="1" ht="18" customHeight="1">
      <c r="A2357" s="50"/>
      <c r="B2357" s="93" t="s">
        <v>37</v>
      </c>
      <c r="C2357" s="16"/>
      <c r="D2357" s="52"/>
      <c r="E2357" s="52"/>
      <c r="F2357" s="52"/>
      <c r="G2357" s="52"/>
      <c r="H2357" s="52"/>
      <c r="I2357" s="52"/>
      <c r="J2357" s="52"/>
      <c r="K2357" s="52"/>
      <c r="L2357" s="60">
        <f>L2358</f>
        <v>1</v>
      </c>
      <c r="M2357" s="60" t="str">
        <f>M2358</f>
        <v> -</v>
      </c>
      <c r="N2357" s="60">
        <v>1</v>
      </c>
      <c r="O2357" s="60" t="str">
        <f>O2358</f>
        <v> -</v>
      </c>
      <c r="P2357" s="60" t="str">
        <f>P2358</f>
        <v> -</v>
      </c>
      <c r="Q2357" s="23"/>
      <c r="R2357" s="23"/>
      <c r="S2357" s="17"/>
      <c r="T2357" s="47"/>
      <c r="U2357" s="47"/>
      <c r="V2357" s="47"/>
      <c r="W2357" s="47"/>
      <c r="X2357" s="47"/>
      <c r="Y2357" s="47"/>
      <c r="Z2357" s="47"/>
      <c r="AA2357" s="47"/>
      <c r="AB2357" s="47"/>
      <c r="AC2357" s="47"/>
      <c r="AD2357" s="47"/>
      <c r="AE2357" s="47"/>
      <c r="AF2357" s="47"/>
      <c r="AG2357" s="47"/>
      <c r="AH2357" s="47"/>
      <c r="AI2357" s="47"/>
      <c r="AJ2357" s="47"/>
      <c r="AK2357" s="47"/>
      <c r="AL2357" s="47"/>
      <c r="AM2357" s="47"/>
      <c r="AN2357" s="47"/>
      <c r="AO2357" s="47"/>
      <c r="AP2357" s="47"/>
      <c r="AQ2357" s="47"/>
      <c r="AR2357" s="47"/>
      <c r="AS2357" s="47"/>
      <c r="AT2357" s="47"/>
      <c r="AU2357" s="47"/>
      <c r="AV2357" s="47"/>
    </row>
    <row r="2358" spans="1:48" s="27" customFormat="1" ht="18.75" customHeight="1">
      <c r="A2358" s="12"/>
      <c r="B2358" s="109" t="s">
        <v>114</v>
      </c>
      <c r="C2358" s="66" t="s">
        <v>113</v>
      </c>
      <c r="D2358" s="51"/>
      <c r="E2358" s="51"/>
      <c r="F2358" s="51">
        <v>89</v>
      </c>
      <c r="G2358" s="51">
        <v>1</v>
      </c>
      <c r="H2358" s="51">
        <v>1</v>
      </c>
      <c r="I2358" s="51">
        <v>1</v>
      </c>
      <c r="J2358" s="51"/>
      <c r="K2358" s="51">
        <v>1</v>
      </c>
      <c r="L2358" s="40">
        <v>1</v>
      </c>
      <c r="M2358" s="40" t="s">
        <v>556</v>
      </c>
      <c r="N2358" s="40">
        <v>1</v>
      </c>
      <c r="O2358" s="40" t="s">
        <v>556</v>
      </c>
      <c r="P2358" s="40" t="s">
        <v>556</v>
      </c>
      <c r="Q2358" s="33">
        <v>1</v>
      </c>
      <c r="R2358" s="28">
        <v>1</v>
      </c>
      <c r="S2358" s="28">
        <v>1</v>
      </c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</row>
    <row r="2359" spans="1:186" s="57" customFormat="1" ht="16.5" customHeight="1">
      <c r="A2359" s="13">
        <v>39</v>
      </c>
      <c r="B2359" s="108" t="s">
        <v>64</v>
      </c>
      <c r="C2359" s="45"/>
      <c r="D2359" s="44">
        <v>37</v>
      </c>
      <c r="E2359" s="44">
        <v>6</v>
      </c>
      <c r="F2359" s="44"/>
      <c r="G2359" s="44">
        <v>40</v>
      </c>
      <c r="H2359" s="44">
        <v>41</v>
      </c>
      <c r="I2359" s="44">
        <v>42</v>
      </c>
      <c r="J2359" s="44">
        <v>43</v>
      </c>
      <c r="K2359" s="44">
        <v>44</v>
      </c>
      <c r="L2359" s="44">
        <f>L2360</f>
        <v>3</v>
      </c>
      <c r="M2359" s="44">
        <f>M2360</f>
        <v>3</v>
      </c>
      <c r="N2359" s="44">
        <f>N2360</f>
        <v>5</v>
      </c>
      <c r="O2359" s="44">
        <f>O2360</f>
        <v>5</v>
      </c>
      <c r="P2359" s="44">
        <v>7</v>
      </c>
      <c r="Q2359" s="54" t="s">
        <v>649</v>
      </c>
      <c r="R2359" s="54">
        <v>10</v>
      </c>
      <c r="S2359" s="55" t="s">
        <v>592</v>
      </c>
      <c r="T2359" s="56"/>
      <c r="U2359" s="56"/>
      <c r="V2359" s="56"/>
      <c r="W2359" s="56"/>
      <c r="X2359" s="56"/>
      <c r="Y2359" s="56"/>
      <c r="Z2359" s="56"/>
      <c r="AA2359" s="56"/>
      <c r="AB2359" s="56"/>
      <c r="AC2359" s="56"/>
      <c r="AD2359" s="56"/>
      <c r="AE2359" s="56"/>
      <c r="AF2359" s="56"/>
      <c r="AG2359" s="56"/>
      <c r="AH2359" s="56"/>
      <c r="AI2359" s="56"/>
      <c r="AJ2359" s="56"/>
      <c r="AK2359" s="56"/>
      <c r="AL2359" s="56"/>
      <c r="AM2359" s="56"/>
      <c r="AN2359" s="56"/>
      <c r="AO2359" s="56"/>
      <c r="AP2359" s="56"/>
      <c r="AQ2359" s="56"/>
      <c r="AR2359" s="56"/>
      <c r="AS2359" s="56"/>
      <c r="AT2359" s="56"/>
      <c r="AU2359" s="56"/>
      <c r="AV2359" s="56"/>
      <c r="AW2359" s="56"/>
      <c r="AX2359" s="56"/>
      <c r="AY2359" s="56"/>
      <c r="AZ2359" s="56"/>
      <c r="BA2359" s="56"/>
      <c r="BB2359" s="56"/>
      <c r="BC2359" s="56"/>
      <c r="BD2359" s="56"/>
      <c r="BE2359" s="56"/>
      <c r="BF2359" s="56"/>
      <c r="BG2359" s="56"/>
      <c r="BH2359" s="56"/>
      <c r="BI2359" s="56"/>
      <c r="BJ2359" s="56"/>
      <c r="BK2359" s="56"/>
      <c r="BL2359" s="56"/>
      <c r="BM2359" s="56"/>
      <c r="BN2359" s="56"/>
      <c r="BO2359" s="56"/>
      <c r="BP2359" s="56"/>
      <c r="BQ2359" s="56"/>
      <c r="BR2359" s="56"/>
      <c r="BS2359" s="56"/>
      <c r="BT2359" s="56"/>
      <c r="BU2359" s="56"/>
      <c r="BV2359" s="56"/>
      <c r="BW2359" s="56"/>
      <c r="BX2359" s="56"/>
      <c r="BY2359" s="56"/>
      <c r="BZ2359" s="56"/>
      <c r="CA2359" s="56"/>
      <c r="CB2359" s="56"/>
      <c r="CC2359" s="56"/>
      <c r="CD2359" s="56"/>
      <c r="CE2359" s="56"/>
      <c r="CF2359" s="56"/>
      <c r="CG2359" s="56"/>
      <c r="CH2359" s="56"/>
      <c r="CI2359" s="56"/>
      <c r="CJ2359" s="56"/>
      <c r="CK2359" s="56"/>
      <c r="CL2359" s="56"/>
      <c r="CM2359" s="56"/>
      <c r="CN2359" s="56"/>
      <c r="CO2359" s="56"/>
      <c r="CP2359" s="56"/>
      <c r="CQ2359" s="56"/>
      <c r="CR2359" s="56"/>
      <c r="CS2359" s="56"/>
      <c r="CT2359" s="56"/>
      <c r="CU2359" s="56"/>
      <c r="CV2359" s="56"/>
      <c r="CW2359" s="56"/>
      <c r="CX2359" s="56"/>
      <c r="CY2359" s="56"/>
      <c r="CZ2359" s="56"/>
      <c r="DA2359" s="56"/>
      <c r="DB2359" s="56"/>
      <c r="DC2359" s="56"/>
      <c r="DD2359" s="56"/>
      <c r="DE2359" s="56"/>
      <c r="DF2359" s="56"/>
      <c r="DG2359" s="56"/>
      <c r="DH2359" s="56"/>
      <c r="DI2359" s="56"/>
      <c r="DJ2359" s="56"/>
      <c r="DK2359" s="56"/>
      <c r="DL2359" s="56"/>
      <c r="DM2359" s="56"/>
      <c r="DN2359" s="56"/>
      <c r="DO2359" s="56"/>
      <c r="DP2359" s="56"/>
      <c r="DQ2359" s="56"/>
      <c r="DR2359" s="56"/>
      <c r="DS2359" s="56"/>
      <c r="DT2359" s="56"/>
      <c r="DU2359" s="56"/>
      <c r="DV2359" s="56"/>
      <c r="DW2359" s="56"/>
      <c r="DX2359" s="56"/>
      <c r="DY2359" s="56"/>
      <c r="DZ2359" s="56"/>
      <c r="EA2359" s="56"/>
      <c r="EB2359" s="56"/>
      <c r="EC2359" s="56"/>
      <c r="ED2359" s="56"/>
      <c r="EE2359" s="56"/>
      <c r="EF2359" s="56"/>
      <c r="EG2359" s="56"/>
      <c r="EH2359" s="56"/>
      <c r="EI2359" s="56"/>
      <c r="EJ2359" s="56"/>
      <c r="EK2359" s="56"/>
      <c r="EL2359" s="56"/>
      <c r="EM2359" s="56"/>
      <c r="EN2359" s="56"/>
      <c r="EO2359" s="56"/>
      <c r="EP2359" s="56"/>
      <c r="EQ2359" s="56"/>
      <c r="ER2359" s="56"/>
      <c r="ES2359" s="56"/>
      <c r="ET2359" s="56"/>
      <c r="EU2359" s="56"/>
      <c r="EV2359" s="56"/>
      <c r="EW2359" s="56"/>
      <c r="EX2359" s="56"/>
      <c r="EY2359" s="56"/>
      <c r="EZ2359" s="56"/>
      <c r="FA2359" s="56"/>
      <c r="FB2359" s="56"/>
      <c r="FC2359" s="56"/>
      <c r="FD2359" s="56"/>
      <c r="FE2359" s="56"/>
      <c r="FF2359" s="56"/>
      <c r="FG2359" s="56"/>
      <c r="FH2359" s="56"/>
      <c r="FI2359" s="56"/>
      <c r="FJ2359" s="56"/>
      <c r="FK2359" s="56"/>
      <c r="FL2359" s="56"/>
      <c r="FM2359" s="56"/>
      <c r="FN2359" s="56"/>
      <c r="FO2359" s="56"/>
      <c r="FP2359" s="56"/>
      <c r="FQ2359" s="56"/>
      <c r="FR2359" s="56"/>
      <c r="FS2359" s="56"/>
      <c r="FT2359" s="56"/>
      <c r="FU2359" s="56"/>
      <c r="FV2359" s="56"/>
      <c r="FW2359" s="56"/>
      <c r="FX2359" s="56"/>
      <c r="FY2359" s="56"/>
      <c r="FZ2359" s="56"/>
      <c r="GA2359" s="56"/>
      <c r="GB2359" s="56"/>
      <c r="GC2359" s="56"/>
      <c r="GD2359" s="56"/>
    </row>
    <row r="2360" spans="1:48" s="18" customFormat="1" ht="16.5" customHeight="1">
      <c r="A2360" s="50"/>
      <c r="B2360" s="93" t="s">
        <v>669</v>
      </c>
      <c r="C2360" s="16"/>
      <c r="D2360" s="52"/>
      <c r="E2360" s="52"/>
      <c r="F2360" s="52"/>
      <c r="G2360" s="52"/>
      <c r="H2360" s="52"/>
      <c r="I2360" s="52"/>
      <c r="J2360" s="52"/>
      <c r="K2360" s="52"/>
      <c r="L2360" s="60">
        <f>SUM(L2361:L2364)</f>
        <v>3</v>
      </c>
      <c r="M2360" s="60">
        <f>SUM(M2361:M2364)</f>
        <v>3</v>
      </c>
      <c r="N2360" s="60">
        <f>SUM(N2361:N2364)</f>
        <v>5</v>
      </c>
      <c r="O2360" s="60">
        <f>SUM(O2361:O2364)</f>
        <v>5</v>
      </c>
      <c r="P2360" s="60">
        <f>SUM(P2361:P2364)</f>
        <v>4</v>
      </c>
      <c r="Q2360" s="23"/>
      <c r="R2360" s="23"/>
      <c r="S2360" s="17"/>
      <c r="T2360" s="47"/>
      <c r="U2360" s="47"/>
      <c r="V2360" s="47"/>
      <c r="W2360" s="47"/>
      <c r="X2360" s="47"/>
      <c r="Y2360" s="47"/>
      <c r="Z2360" s="47"/>
      <c r="AA2360" s="47"/>
      <c r="AB2360" s="47"/>
      <c r="AC2360" s="47"/>
      <c r="AD2360" s="47"/>
      <c r="AE2360" s="47"/>
      <c r="AF2360" s="47"/>
      <c r="AG2360" s="47"/>
      <c r="AH2360" s="47"/>
      <c r="AI2360" s="47"/>
      <c r="AJ2360" s="47"/>
      <c r="AK2360" s="47"/>
      <c r="AL2360" s="47"/>
      <c r="AM2360" s="47"/>
      <c r="AN2360" s="47"/>
      <c r="AO2360" s="47"/>
      <c r="AP2360" s="47"/>
      <c r="AQ2360" s="47"/>
      <c r="AR2360" s="47"/>
      <c r="AS2360" s="47"/>
      <c r="AT2360" s="47"/>
      <c r="AU2360" s="47"/>
      <c r="AV2360" s="47"/>
    </row>
    <row r="2361" spans="1:48" s="27" customFormat="1" ht="16.5" customHeight="1">
      <c r="A2361" s="12"/>
      <c r="B2361" s="97" t="s">
        <v>562</v>
      </c>
      <c r="C2361" s="29" t="s">
        <v>563</v>
      </c>
      <c r="D2361" s="51"/>
      <c r="E2361" s="51"/>
      <c r="F2361" s="51"/>
      <c r="G2361" s="51"/>
      <c r="H2361" s="51"/>
      <c r="I2361" s="51"/>
      <c r="J2361" s="51"/>
      <c r="K2361" s="51"/>
      <c r="L2361" s="40">
        <v>2</v>
      </c>
      <c r="M2361" s="40">
        <v>2</v>
      </c>
      <c r="N2361" s="40">
        <v>3</v>
      </c>
      <c r="O2361" s="40">
        <v>4</v>
      </c>
      <c r="P2361" s="40">
        <v>3</v>
      </c>
      <c r="Q2361" s="33">
        <v>1</v>
      </c>
      <c r="R2361" s="28">
        <v>1</v>
      </c>
      <c r="S2361" s="28">
        <v>1</v>
      </c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</row>
    <row r="2362" spans="1:48" s="27" customFormat="1" ht="16.5" customHeight="1">
      <c r="A2362" s="12"/>
      <c r="B2362" s="97" t="s">
        <v>564</v>
      </c>
      <c r="C2362" s="29" t="s">
        <v>565</v>
      </c>
      <c r="D2362" s="51"/>
      <c r="E2362" s="51"/>
      <c r="F2362" s="51"/>
      <c r="G2362" s="51"/>
      <c r="H2362" s="51"/>
      <c r="I2362" s="51"/>
      <c r="J2362" s="51"/>
      <c r="K2362" s="51"/>
      <c r="L2362" s="40">
        <v>1</v>
      </c>
      <c r="M2362" s="40" t="s">
        <v>556</v>
      </c>
      <c r="N2362" s="40">
        <v>1</v>
      </c>
      <c r="O2362" s="40" t="s">
        <v>556</v>
      </c>
      <c r="P2362" s="40">
        <v>1</v>
      </c>
      <c r="Q2362" s="33"/>
      <c r="R2362" s="33"/>
      <c r="S2362" s="33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</row>
    <row r="2363" spans="1:48" s="27" customFormat="1" ht="16.5" customHeight="1">
      <c r="A2363" s="12"/>
      <c r="B2363" s="97" t="s">
        <v>1316</v>
      </c>
      <c r="C2363" s="29" t="s">
        <v>1317</v>
      </c>
      <c r="D2363" s="51"/>
      <c r="E2363" s="51"/>
      <c r="F2363" s="51"/>
      <c r="G2363" s="51"/>
      <c r="H2363" s="51"/>
      <c r="I2363" s="51"/>
      <c r="J2363" s="51"/>
      <c r="K2363" s="51"/>
      <c r="L2363" s="40" t="s">
        <v>556</v>
      </c>
      <c r="M2363" s="40">
        <v>1</v>
      </c>
      <c r="N2363" s="40" t="s">
        <v>556</v>
      </c>
      <c r="O2363" s="40">
        <v>1</v>
      </c>
      <c r="P2363" s="40" t="s">
        <v>556</v>
      </c>
      <c r="Q2363" s="33"/>
      <c r="R2363" s="33"/>
      <c r="S2363" s="33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</row>
    <row r="2364" spans="1:48" s="27" customFormat="1" ht="16.5" customHeight="1">
      <c r="A2364" s="12"/>
      <c r="B2364" s="97" t="s">
        <v>560</v>
      </c>
      <c r="C2364" s="29" t="s">
        <v>1319</v>
      </c>
      <c r="D2364" s="51"/>
      <c r="E2364" s="51"/>
      <c r="F2364" s="51"/>
      <c r="G2364" s="51"/>
      <c r="H2364" s="51"/>
      <c r="I2364" s="51"/>
      <c r="J2364" s="51"/>
      <c r="K2364" s="51"/>
      <c r="L2364" s="40" t="s">
        <v>556</v>
      </c>
      <c r="M2364" s="40" t="s">
        <v>556</v>
      </c>
      <c r="N2364" s="40">
        <v>1</v>
      </c>
      <c r="O2364" s="40" t="s">
        <v>556</v>
      </c>
      <c r="P2364" s="40" t="s">
        <v>556</v>
      </c>
      <c r="Q2364" s="33"/>
      <c r="R2364" s="33"/>
      <c r="S2364" s="33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</row>
    <row r="2365" spans="1:48" s="18" customFormat="1" ht="16.5" customHeight="1">
      <c r="A2365" s="50"/>
      <c r="B2365" s="93" t="s">
        <v>670</v>
      </c>
      <c r="C2365" s="16"/>
      <c r="D2365" s="52"/>
      <c r="E2365" s="52"/>
      <c r="F2365" s="52"/>
      <c r="G2365" s="52"/>
      <c r="H2365" s="52"/>
      <c r="I2365" s="52"/>
      <c r="J2365" s="52"/>
      <c r="K2365" s="52"/>
      <c r="L2365" s="60" t="str">
        <f>L2366</f>
        <v> -</v>
      </c>
      <c r="M2365" s="60" t="str">
        <f>M2366</f>
        <v> -</v>
      </c>
      <c r="N2365" s="60" t="str">
        <f>N2366</f>
        <v> -</v>
      </c>
      <c r="O2365" s="60" t="str">
        <f>O2366</f>
        <v> -</v>
      </c>
      <c r="P2365" s="60">
        <v>3</v>
      </c>
      <c r="Q2365" s="23"/>
      <c r="R2365" s="23"/>
      <c r="S2365" s="17"/>
      <c r="T2365" s="47"/>
      <c r="U2365" s="47"/>
      <c r="V2365" s="47"/>
      <c r="W2365" s="47"/>
      <c r="X2365" s="47"/>
      <c r="Y2365" s="47"/>
      <c r="Z2365" s="47"/>
      <c r="AA2365" s="47"/>
      <c r="AB2365" s="47"/>
      <c r="AC2365" s="47"/>
      <c r="AD2365" s="47"/>
      <c r="AE2365" s="47"/>
      <c r="AF2365" s="47"/>
      <c r="AG2365" s="47"/>
      <c r="AH2365" s="47"/>
      <c r="AI2365" s="47"/>
      <c r="AJ2365" s="47"/>
      <c r="AK2365" s="47"/>
      <c r="AL2365" s="47"/>
      <c r="AM2365" s="47"/>
      <c r="AN2365" s="47"/>
      <c r="AO2365" s="47"/>
      <c r="AP2365" s="47"/>
      <c r="AQ2365" s="47"/>
      <c r="AR2365" s="47"/>
      <c r="AS2365" s="47"/>
      <c r="AT2365" s="47"/>
      <c r="AU2365" s="47"/>
      <c r="AV2365" s="47"/>
    </row>
    <row r="2366" spans="1:48" s="27" customFormat="1" ht="16.5" customHeight="1">
      <c r="A2366" s="12"/>
      <c r="B2366" s="105" t="s">
        <v>133</v>
      </c>
      <c r="C2366" s="15" t="s">
        <v>134</v>
      </c>
      <c r="D2366" s="51"/>
      <c r="E2366" s="51"/>
      <c r="F2366" s="51"/>
      <c r="G2366" s="51"/>
      <c r="H2366" s="51"/>
      <c r="I2366" s="51"/>
      <c r="J2366" s="51"/>
      <c r="K2366" s="51"/>
      <c r="L2366" s="40" t="s">
        <v>556</v>
      </c>
      <c r="M2366" s="40" t="s">
        <v>556</v>
      </c>
      <c r="N2366" s="40" t="s">
        <v>556</v>
      </c>
      <c r="O2366" s="40" t="s">
        <v>556</v>
      </c>
      <c r="P2366" s="40">
        <v>1</v>
      </c>
      <c r="Q2366" s="33">
        <v>1</v>
      </c>
      <c r="R2366" s="28">
        <v>1</v>
      </c>
      <c r="S2366" s="28">
        <v>1</v>
      </c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</row>
    <row r="2367" spans="1:48" s="27" customFormat="1" ht="16.5" customHeight="1">
      <c r="A2367" s="12"/>
      <c r="B2367" s="105" t="s">
        <v>570</v>
      </c>
      <c r="C2367" s="15" t="s">
        <v>571</v>
      </c>
      <c r="D2367" s="51"/>
      <c r="E2367" s="51"/>
      <c r="F2367" s="51"/>
      <c r="G2367" s="51"/>
      <c r="H2367" s="51"/>
      <c r="I2367" s="51"/>
      <c r="J2367" s="51"/>
      <c r="K2367" s="51"/>
      <c r="L2367" s="40" t="s">
        <v>556</v>
      </c>
      <c r="M2367" s="40" t="s">
        <v>556</v>
      </c>
      <c r="N2367" s="40" t="s">
        <v>556</v>
      </c>
      <c r="O2367" s="40" t="s">
        <v>556</v>
      </c>
      <c r="P2367" s="40">
        <v>2</v>
      </c>
      <c r="Q2367" s="30"/>
      <c r="R2367" s="30"/>
      <c r="S2367" s="30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</row>
    <row r="2368" spans="1:19" ht="15" customHeight="1">
      <c r="A2368" s="399" t="s">
        <v>656</v>
      </c>
      <c r="B2368" s="399"/>
      <c r="C2368" s="399"/>
      <c r="D2368" s="399"/>
      <c r="E2368" s="399"/>
      <c r="F2368" s="399"/>
      <c r="G2368" s="399"/>
      <c r="H2368" s="399"/>
      <c r="I2368" s="399"/>
      <c r="J2368" s="399"/>
      <c r="K2368" s="399"/>
      <c r="L2368" s="399"/>
      <c r="M2368" s="399"/>
      <c r="N2368" s="399"/>
      <c r="O2368" s="399"/>
      <c r="P2368" s="399"/>
      <c r="Q2368" s="20"/>
      <c r="R2368" s="20"/>
      <c r="S2368" s="7"/>
    </row>
    <row r="2369" spans="1:19" ht="13.5" customHeight="1">
      <c r="A2369" s="400" t="s">
        <v>676</v>
      </c>
      <c r="B2369" s="400"/>
      <c r="C2369" s="400"/>
      <c r="D2369" s="400"/>
      <c r="E2369" s="400"/>
      <c r="F2369" s="400"/>
      <c r="G2369" s="400"/>
      <c r="H2369" s="400"/>
      <c r="I2369" s="400"/>
      <c r="J2369" s="400"/>
      <c r="K2369" s="400"/>
      <c r="L2369" s="400"/>
      <c r="M2369" s="400"/>
      <c r="N2369" s="400"/>
      <c r="O2369" s="400"/>
      <c r="P2369" s="400"/>
      <c r="Q2369" s="21"/>
      <c r="R2369" s="21"/>
      <c r="S2369" s="8"/>
    </row>
    <row r="2370" spans="1:186" s="57" customFormat="1" ht="17.25" customHeight="1">
      <c r="A2370" s="13">
        <v>40</v>
      </c>
      <c r="B2370" s="108" t="s">
        <v>62</v>
      </c>
      <c r="C2370" s="45"/>
      <c r="D2370" s="44">
        <v>105</v>
      </c>
      <c r="E2370" s="44">
        <v>14</v>
      </c>
      <c r="F2370" s="44"/>
      <c r="G2370" s="44">
        <v>105</v>
      </c>
      <c r="H2370" s="44">
        <v>107</v>
      </c>
      <c r="I2370" s="44">
        <v>107</v>
      </c>
      <c r="J2370" s="44">
        <v>108</v>
      </c>
      <c r="K2370" s="44">
        <v>110</v>
      </c>
      <c r="L2370" s="44">
        <f>SUM(L2371,L2375)</f>
        <v>10</v>
      </c>
      <c r="M2370" s="44">
        <f>SUM(M2371,M2375)</f>
        <v>11</v>
      </c>
      <c r="N2370" s="44">
        <f>SUM(N2371,N2375)</f>
        <v>12</v>
      </c>
      <c r="O2370" s="44">
        <f>SUM(O2371,O2375)</f>
        <v>13</v>
      </c>
      <c r="P2370" s="44">
        <f>SUM(P2371,P2375)</f>
        <v>14</v>
      </c>
      <c r="Q2370" s="54" t="s">
        <v>649</v>
      </c>
      <c r="R2370" s="54">
        <v>10</v>
      </c>
      <c r="S2370" s="55" t="s">
        <v>592</v>
      </c>
      <c r="T2370" s="56"/>
      <c r="U2370" s="56"/>
      <c r="V2370" s="56"/>
      <c r="W2370" s="56"/>
      <c r="X2370" s="56"/>
      <c r="Y2370" s="56"/>
      <c r="Z2370" s="56"/>
      <c r="AA2370" s="56"/>
      <c r="AB2370" s="56"/>
      <c r="AC2370" s="56"/>
      <c r="AD2370" s="56"/>
      <c r="AE2370" s="56"/>
      <c r="AF2370" s="56"/>
      <c r="AG2370" s="56"/>
      <c r="AH2370" s="56"/>
      <c r="AI2370" s="56"/>
      <c r="AJ2370" s="56"/>
      <c r="AK2370" s="56"/>
      <c r="AL2370" s="56"/>
      <c r="AM2370" s="56"/>
      <c r="AN2370" s="56"/>
      <c r="AO2370" s="56"/>
      <c r="AP2370" s="56"/>
      <c r="AQ2370" s="56"/>
      <c r="AR2370" s="56"/>
      <c r="AS2370" s="56"/>
      <c r="AT2370" s="56"/>
      <c r="AU2370" s="56"/>
      <c r="AV2370" s="56"/>
      <c r="AW2370" s="56"/>
      <c r="AX2370" s="56"/>
      <c r="AY2370" s="56"/>
      <c r="AZ2370" s="56"/>
      <c r="BA2370" s="56"/>
      <c r="BB2370" s="56"/>
      <c r="BC2370" s="56"/>
      <c r="BD2370" s="56"/>
      <c r="BE2370" s="56"/>
      <c r="BF2370" s="56"/>
      <c r="BG2370" s="56"/>
      <c r="BH2370" s="56"/>
      <c r="BI2370" s="56"/>
      <c r="BJ2370" s="56"/>
      <c r="BK2370" s="56"/>
      <c r="BL2370" s="56"/>
      <c r="BM2370" s="56"/>
      <c r="BN2370" s="56"/>
      <c r="BO2370" s="56"/>
      <c r="BP2370" s="56"/>
      <c r="BQ2370" s="56"/>
      <c r="BR2370" s="56"/>
      <c r="BS2370" s="56"/>
      <c r="BT2370" s="56"/>
      <c r="BU2370" s="56"/>
      <c r="BV2370" s="56"/>
      <c r="BW2370" s="56"/>
      <c r="BX2370" s="56"/>
      <c r="BY2370" s="56"/>
      <c r="BZ2370" s="56"/>
      <c r="CA2370" s="56"/>
      <c r="CB2370" s="56"/>
      <c r="CC2370" s="56"/>
      <c r="CD2370" s="56"/>
      <c r="CE2370" s="56"/>
      <c r="CF2370" s="56"/>
      <c r="CG2370" s="56"/>
      <c r="CH2370" s="56"/>
      <c r="CI2370" s="56"/>
      <c r="CJ2370" s="56"/>
      <c r="CK2370" s="56"/>
      <c r="CL2370" s="56"/>
      <c r="CM2370" s="56"/>
      <c r="CN2370" s="56"/>
      <c r="CO2370" s="56"/>
      <c r="CP2370" s="56"/>
      <c r="CQ2370" s="56"/>
      <c r="CR2370" s="56"/>
      <c r="CS2370" s="56"/>
      <c r="CT2370" s="56"/>
      <c r="CU2370" s="56"/>
      <c r="CV2370" s="56"/>
      <c r="CW2370" s="56"/>
      <c r="CX2370" s="56"/>
      <c r="CY2370" s="56"/>
      <c r="CZ2370" s="56"/>
      <c r="DA2370" s="56"/>
      <c r="DB2370" s="56"/>
      <c r="DC2370" s="56"/>
      <c r="DD2370" s="56"/>
      <c r="DE2370" s="56"/>
      <c r="DF2370" s="56"/>
      <c r="DG2370" s="56"/>
      <c r="DH2370" s="56"/>
      <c r="DI2370" s="56"/>
      <c r="DJ2370" s="56"/>
      <c r="DK2370" s="56"/>
      <c r="DL2370" s="56"/>
      <c r="DM2370" s="56"/>
      <c r="DN2370" s="56"/>
      <c r="DO2370" s="56"/>
      <c r="DP2370" s="56"/>
      <c r="DQ2370" s="56"/>
      <c r="DR2370" s="56"/>
      <c r="DS2370" s="56"/>
      <c r="DT2370" s="56"/>
      <c r="DU2370" s="56"/>
      <c r="DV2370" s="56"/>
      <c r="DW2370" s="56"/>
      <c r="DX2370" s="56"/>
      <c r="DY2370" s="56"/>
      <c r="DZ2370" s="56"/>
      <c r="EA2370" s="56"/>
      <c r="EB2370" s="56"/>
      <c r="EC2370" s="56"/>
      <c r="ED2370" s="56"/>
      <c r="EE2370" s="56"/>
      <c r="EF2370" s="56"/>
      <c r="EG2370" s="56"/>
      <c r="EH2370" s="56"/>
      <c r="EI2370" s="56"/>
      <c r="EJ2370" s="56"/>
      <c r="EK2370" s="56"/>
      <c r="EL2370" s="56"/>
      <c r="EM2370" s="56"/>
      <c r="EN2370" s="56"/>
      <c r="EO2370" s="56"/>
      <c r="EP2370" s="56"/>
      <c r="EQ2370" s="56"/>
      <c r="ER2370" s="56"/>
      <c r="ES2370" s="56"/>
      <c r="ET2370" s="56"/>
      <c r="EU2370" s="56"/>
      <c r="EV2370" s="56"/>
      <c r="EW2370" s="56"/>
      <c r="EX2370" s="56"/>
      <c r="EY2370" s="56"/>
      <c r="EZ2370" s="56"/>
      <c r="FA2370" s="56"/>
      <c r="FB2370" s="56"/>
      <c r="FC2370" s="56"/>
      <c r="FD2370" s="56"/>
      <c r="FE2370" s="56"/>
      <c r="FF2370" s="56"/>
      <c r="FG2370" s="56"/>
      <c r="FH2370" s="56"/>
      <c r="FI2370" s="56"/>
      <c r="FJ2370" s="56"/>
      <c r="FK2370" s="56"/>
      <c r="FL2370" s="56"/>
      <c r="FM2370" s="56"/>
      <c r="FN2370" s="56"/>
      <c r="FO2370" s="56"/>
      <c r="FP2370" s="56"/>
      <c r="FQ2370" s="56"/>
      <c r="FR2370" s="56"/>
      <c r="FS2370" s="56"/>
      <c r="FT2370" s="56"/>
      <c r="FU2370" s="56"/>
      <c r="FV2370" s="56"/>
      <c r="FW2370" s="56"/>
      <c r="FX2370" s="56"/>
      <c r="FY2370" s="56"/>
      <c r="FZ2370" s="56"/>
      <c r="GA2370" s="56"/>
      <c r="GB2370" s="56"/>
      <c r="GC2370" s="56"/>
      <c r="GD2370" s="56"/>
    </row>
    <row r="2371" spans="1:48" s="18" customFormat="1" ht="17.25" customHeight="1">
      <c r="A2371" s="50"/>
      <c r="B2371" s="93" t="s">
        <v>669</v>
      </c>
      <c r="C2371" s="16"/>
      <c r="D2371" s="52"/>
      <c r="E2371" s="52"/>
      <c r="F2371" s="52"/>
      <c r="G2371" s="52"/>
      <c r="H2371" s="52"/>
      <c r="I2371" s="52"/>
      <c r="J2371" s="52"/>
      <c r="K2371" s="52"/>
      <c r="L2371" s="60">
        <f>SUM(L2372:L2374)</f>
        <v>8</v>
      </c>
      <c r="M2371" s="60">
        <f>SUM(M2372:M2374)</f>
        <v>10</v>
      </c>
      <c r="N2371" s="60">
        <f>SUM(N2372:N2374)</f>
        <v>11</v>
      </c>
      <c r="O2371" s="60">
        <f>SUM(O2372:O2374)</f>
        <v>12</v>
      </c>
      <c r="P2371" s="60">
        <f>SUM(P2372:P2374)</f>
        <v>14</v>
      </c>
      <c r="Q2371" s="23"/>
      <c r="R2371" s="23"/>
      <c r="S2371" s="17"/>
      <c r="T2371" s="47"/>
      <c r="U2371" s="47"/>
      <c r="V2371" s="47"/>
      <c r="W2371" s="47"/>
      <c r="X2371" s="47"/>
      <c r="Y2371" s="47"/>
      <c r="Z2371" s="47"/>
      <c r="AA2371" s="47"/>
      <c r="AB2371" s="47"/>
      <c r="AC2371" s="47"/>
      <c r="AD2371" s="47"/>
      <c r="AE2371" s="47"/>
      <c r="AF2371" s="47"/>
      <c r="AG2371" s="47"/>
      <c r="AH2371" s="47"/>
      <c r="AI2371" s="47"/>
      <c r="AJ2371" s="47"/>
      <c r="AK2371" s="47"/>
      <c r="AL2371" s="47"/>
      <c r="AM2371" s="47"/>
      <c r="AN2371" s="47"/>
      <c r="AO2371" s="47"/>
      <c r="AP2371" s="47"/>
      <c r="AQ2371" s="47"/>
      <c r="AR2371" s="47"/>
      <c r="AS2371" s="47"/>
      <c r="AT2371" s="47"/>
      <c r="AU2371" s="47"/>
      <c r="AV2371" s="47"/>
    </row>
    <row r="2372" spans="1:48" s="27" customFormat="1" ht="17.25" customHeight="1">
      <c r="A2372" s="12"/>
      <c r="B2372" s="97" t="s">
        <v>448</v>
      </c>
      <c r="C2372" s="29" t="s">
        <v>449</v>
      </c>
      <c r="D2372" s="51"/>
      <c r="E2372" s="51"/>
      <c r="F2372" s="51"/>
      <c r="G2372" s="51">
        <v>1</v>
      </c>
      <c r="H2372" s="51">
        <v>1</v>
      </c>
      <c r="I2372" s="51">
        <v>1</v>
      </c>
      <c r="J2372" s="51">
        <v>1</v>
      </c>
      <c r="K2372" s="51">
        <v>1</v>
      </c>
      <c r="L2372" s="40">
        <v>1</v>
      </c>
      <c r="M2372" s="40" t="s">
        <v>556</v>
      </c>
      <c r="N2372" s="40" t="s">
        <v>556</v>
      </c>
      <c r="O2372" s="40" t="s">
        <v>556</v>
      </c>
      <c r="P2372" s="40" t="s">
        <v>556</v>
      </c>
      <c r="Q2372" s="102"/>
      <c r="R2372" s="101"/>
      <c r="S2372" s="101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</row>
    <row r="2373" spans="1:48" s="27" customFormat="1" ht="17.25" customHeight="1">
      <c r="A2373" s="12"/>
      <c r="B2373" s="97" t="s">
        <v>411</v>
      </c>
      <c r="C2373" s="15" t="s">
        <v>412</v>
      </c>
      <c r="D2373" s="51"/>
      <c r="E2373" s="51"/>
      <c r="F2373" s="51"/>
      <c r="G2373" s="51">
        <v>26</v>
      </c>
      <c r="H2373" s="51">
        <v>26</v>
      </c>
      <c r="I2373" s="51">
        <v>26</v>
      </c>
      <c r="J2373" s="51">
        <v>28</v>
      </c>
      <c r="K2373" s="51">
        <v>29</v>
      </c>
      <c r="L2373" s="40">
        <v>5</v>
      </c>
      <c r="M2373" s="40">
        <v>7</v>
      </c>
      <c r="N2373" s="40">
        <v>8</v>
      </c>
      <c r="O2373" s="40">
        <v>9</v>
      </c>
      <c r="P2373" s="40">
        <v>10</v>
      </c>
      <c r="Q2373" s="102"/>
      <c r="R2373" s="101"/>
      <c r="S2373" s="101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</row>
    <row r="2374" spans="1:48" s="27" customFormat="1" ht="17.25" customHeight="1">
      <c r="A2374" s="12"/>
      <c r="B2374" s="97" t="s">
        <v>458</v>
      </c>
      <c r="C2374" s="29" t="s">
        <v>459</v>
      </c>
      <c r="D2374" s="51"/>
      <c r="E2374" s="51"/>
      <c r="F2374" s="51"/>
      <c r="G2374" s="51">
        <v>21</v>
      </c>
      <c r="H2374" s="51">
        <v>22</v>
      </c>
      <c r="I2374" s="51">
        <v>22</v>
      </c>
      <c r="J2374" s="51">
        <v>24</v>
      </c>
      <c r="K2374" s="51">
        <v>25</v>
      </c>
      <c r="L2374" s="40">
        <v>2</v>
      </c>
      <c r="M2374" s="40">
        <v>3</v>
      </c>
      <c r="N2374" s="40">
        <v>3</v>
      </c>
      <c r="O2374" s="40">
        <v>3</v>
      </c>
      <c r="P2374" s="40">
        <v>4</v>
      </c>
      <c r="Q2374" s="102"/>
      <c r="R2374" s="101"/>
      <c r="S2374" s="101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</row>
    <row r="2375" spans="1:48" s="18" customFormat="1" ht="17.25" customHeight="1">
      <c r="A2375" s="50"/>
      <c r="B2375" s="93" t="s">
        <v>670</v>
      </c>
      <c r="C2375" s="16"/>
      <c r="D2375" s="52"/>
      <c r="E2375" s="52"/>
      <c r="F2375" s="52"/>
      <c r="G2375" s="52"/>
      <c r="H2375" s="52"/>
      <c r="I2375" s="52"/>
      <c r="J2375" s="52"/>
      <c r="K2375" s="52"/>
      <c r="L2375" s="60">
        <f>SUM(L2376:L2377)</f>
        <v>2</v>
      </c>
      <c r="M2375" s="60">
        <f>SUM(M2376:M2377)</f>
        <v>1</v>
      </c>
      <c r="N2375" s="60">
        <f>SUM(N2376:N2377)</f>
        <v>1</v>
      </c>
      <c r="O2375" s="60">
        <f>SUM(O2376:O2377)</f>
        <v>1</v>
      </c>
      <c r="P2375" s="60" t="str">
        <f>P2376</f>
        <v> -</v>
      </c>
      <c r="Q2375" s="238">
        <f>Q2376</f>
        <v>0</v>
      </c>
      <c r="R2375" s="52">
        <f>R2376</f>
        <v>0</v>
      </c>
      <c r="S2375" s="52">
        <f>S2376</f>
        <v>0</v>
      </c>
      <c r="T2375" s="47"/>
      <c r="U2375" s="47"/>
      <c r="V2375" s="47"/>
      <c r="W2375" s="47"/>
      <c r="X2375" s="47"/>
      <c r="Y2375" s="47"/>
      <c r="Z2375" s="47"/>
      <c r="AA2375" s="47"/>
      <c r="AB2375" s="47"/>
      <c r="AC2375" s="47"/>
      <c r="AD2375" s="47"/>
      <c r="AE2375" s="47"/>
      <c r="AF2375" s="47"/>
      <c r="AG2375" s="47"/>
      <c r="AH2375" s="47"/>
      <c r="AI2375" s="47"/>
      <c r="AJ2375" s="47"/>
      <c r="AK2375" s="47"/>
      <c r="AL2375" s="47"/>
      <c r="AM2375" s="47"/>
      <c r="AN2375" s="47"/>
      <c r="AO2375" s="47"/>
      <c r="AP2375" s="47"/>
      <c r="AQ2375" s="47"/>
      <c r="AR2375" s="47"/>
      <c r="AS2375" s="47"/>
      <c r="AT2375" s="47"/>
      <c r="AU2375" s="47"/>
      <c r="AV2375" s="47"/>
    </row>
    <row r="2376" spans="1:48" s="27" customFormat="1" ht="17.25" customHeight="1">
      <c r="A2376" s="12"/>
      <c r="B2376" s="97" t="s">
        <v>561</v>
      </c>
      <c r="C2376" s="29" t="s">
        <v>1053</v>
      </c>
      <c r="D2376" s="51"/>
      <c r="E2376" s="51"/>
      <c r="F2376" s="51"/>
      <c r="G2376" s="51">
        <v>1</v>
      </c>
      <c r="H2376" s="51">
        <v>1</v>
      </c>
      <c r="I2376" s="51">
        <v>1</v>
      </c>
      <c r="J2376" s="51">
        <v>1</v>
      </c>
      <c r="K2376" s="51">
        <v>1</v>
      </c>
      <c r="L2376" s="40">
        <v>1</v>
      </c>
      <c r="M2376" s="40" t="s">
        <v>556</v>
      </c>
      <c r="N2376" s="40" t="s">
        <v>556</v>
      </c>
      <c r="O2376" s="40">
        <v>1</v>
      </c>
      <c r="P2376" s="40" t="s">
        <v>556</v>
      </c>
      <c r="Q2376" s="30"/>
      <c r="R2376" s="30"/>
      <c r="S2376" s="30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</row>
    <row r="2377" spans="1:48" s="27" customFormat="1" ht="17.25" customHeight="1">
      <c r="A2377" s="12"/>
      <c r="B2377" s="97" t="s">
        <v>566</v>
      </c>
      <c r="C2377" s="15" t="s">
        <v>567</v>
      </c>
      <c r="D2377" s="51"/>
      <c r="E2377" s="51"/>
      <c r="F2377" s="51"/>
      <c r="G2377" s="51">
        <v>1</v>
      </c>
      <c r="H2377" s="51">
        <v>1</v>
      </c>
      <c r="I2377" s="51">
        <v>1</v>
      </c>
      <c r="J2377" s="51">
        <v>1</v>
      </c>
      <c r="K2377" s="51">
        <v>1</v>
      </c>
      <c r="L2377" s="40">
        <v>1</v>
      </c>
      <c r="M2377" s="40">
        <v>1</v>
      </c>
      <c r="N2377" s="40">
        <v>1</v>
      </c>
      <c r="O2377" s="40" t="s">
        <v>556</v>
      </c>
      <c r="P2377" s="40" t="s">
        <v>556</v>
      </c>
      <c r="Q2377" s="30"/>
      <c r="R2377" s="30"/>
      <c r="S2377" s="30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</row>
    <row r="2378" spans="1:19" ht="13.5" customHeight="1">
      <c r="A2378" s="400" t="s">
        <v>909</v>
      </c>
      <c r="B2378" s="400"/>
      <c r="C2378" s="400"/>
      <c r="D2378" s="400"/>
      <c r="E2378" s="400"/>
      <c r="F2378" s="400"/>
      <c r="G2378" s="400"/>
      <c r="H2378" s="400"/>
      <c r="I2378" s="400"/>
      <c r="J2378" s="400"/>
      <c r="K2378" s="400"/>
      <c r="L2378" s="400"/>
      <c r="M2378" s="400"/>
      <c r="N2378" s="400"/>
      <c r="O2378" s="400"/>
      <c r="P2378" s="400"/>
      <c r="Q2378" s="21"/>
      <c r="R2378" s="21"/>
      <c r="S2378" s="8"/>
    </row>
    <row r="2379" spans="1:186" s="57" customFormat="1" ht="18" customHeight="1">
      <c r="A2379" s="13">
        <v>41</v>
      </c>
      <c r="B2379" s="108" t="s">
        <v>61</v>
      </c>
      <c r="C2379" s="45"/>
      <c r="D2379" s="44">
        <v>3</v>
      </c>
      <c r="E2379" s="44">
        <v>1</v>
      </c>
      <c r="F2379" s="44"/>
      <c r="G2379" s="44">
        <v>5</v>
      </c>
      <c r="H2379" s="44">
        <v>5</v>
      </c>
      <c r="I2379" s="44">
        <v>5</v>
      </c>
      <c r="J2379" s="44">
        <v>5</v>
      </c>
      <c r="K2379" s="44">
        <v>5</v>
      </c>
      <c r="L2379" s="44">
        <f aca="true" t="shared" si="74" ref="L2379:P2380">L2380</f>
        <v>3</v>
      </c>
      <c r="M2379" s="44" t="str">
        <f t="shared" si="74"/>
        <v> -</v>
      </c>
      <c r="N2379" s="44" t="str">
        <f t="shared" si="74"/>
        <v> -</v>
      </c>
      <c r="O2379" s="44" t="str">
        <f t="shared" si="74"/>
        <v> -</v>
      </c>
      <c r="P2379" s="44" t="str">
        <f t="shared" si="74"/>
        <v> -</v>
      </c>
      <c r="Q2379" s="54" t="s">
        <v>649</v>
      </c>
      <c r="R2379" s="54">
        <v>10</v>
      </c>
      <c r="S2379" s="55" t="s">
        <v>592</v>
      </c>
      <c r="T2379" s="56"/>
      <c r="U2379" s="56"/>
      <c r="V2379" s="56"/>
      <c r="W2379" s="56"/>
      <c r="X2379" s="56"/>
      <c r="Y2379" s="56"/>
      <c r="Z2379" s="56"/>
      <c r="AA2379" s="56"/>
      <c r="AB2379" s="56"/>
      <c r="AC2379" s="56"/>
      <c r="AD2379" s="56"/>
      <c r="AE2379" s="56"/>
      <c r="AF2379" s="56"/>
      <c r="AG2379" s="56"/>
      <c r="AH2379" s="56"/>
      <c r="AI2379" s="56"/>
      <c r="AJ2379" s="56"/>
      <c r="AK2379" s="56"/>
      <c r="AL2379" s="56"/>
      <c r="AM2379" s="56"/>
      <c r="AN2379" s="56"/>
      <c r="AO2379" s="56"/>
      <c r="AP2379" s="56"/>
      <c r="AQ2379" s="56"/>
      <c r="AR2379" s="56"/>
      <c r="AS2379" s="56"/>
      <c r="AT2379" s="56"/>
      <c r="AU2379" s="56"/>
      <c r="AV2379" s="56"/>
      <c r="AW2379" s="56"/>
      <c r="AX2379" s="56"/>
      <c r="AY2379" s="56"/>
      <c r="AZ2379" s="56"/>
      <c r="BA2379" s="56"/>
      <c r="BB2379" s="56"/>
      <c r="BC2379" s="56"/>
      <c r="BD2379" s="56"/>
      <c r="BE2379" s="56"/>
      <c r="BF2379" s="56"/>
      <c r="BG2379" s="56"/>
      <c r="BH2379" s="56"/>
      <c r="BI2379" s="56"/>
      <c r="BJ2379" s="56"/>
      <c r="BK2379" s="56"/>
      <c r="BL2379" s="56"/>
      <c r="BM2379" s="56"/>
      <c r="BN2379" s="56"/>
      <c r="BO2379" s="56"/>
      <c r="BP2379" s="56"/>
      <c r="BQ2379" s="56"/>
      <c r="BR2379" s="56"/>
      <c r="BS2379" s="56"/>
      <c r="BT2379" s="56"/>
      <c r="BU2379" s="56"/>
      <c r="BV2379" s="56"/>
      <c r="BW2379" s="56"/>
      <c r="BX2379" s="56"/>
      <c r="BY2379" s="56"/>
      <c r="BZ2379" s="56"/>
      <c r="CA2379" s="56"/>
      <c r="CB2379" s="56"/>
      <c r="CC2379" s="56"/>
      <c r="CD2379" s="56"/>
      <c r="CE2379" s="56"/>
      <c r="CF2379" s="56"/>
      <c r="CG2379" s="56"/>
      <c r="CH2379" s="56"/>
      <c r="CI2379" s="56"/>
      <c r="CJ2379" s="56"/>
      <c r="CK2379" s="56"/>
      <c r="CL2379" s="56"/>
      <c r="CM2379" s="56"/>
      <c r="CN2379" s="56"/>
      <c r="CO2379" s="56"/>
      <c r="CP2379" s="56"/>
      <c r="CQ2379" s="56"/>
      <c r="CR2379" s="56"/>
      <c r="CS2379" s="56"/>
      <c r="CT2379" s="56"/>
      <c r="CU2379" s="56"/>
      <c r="CV2379" s="56"/>
      <c r="CW2379" s="56"/>
      <c r="CX2379" s="56"/>
      <c r="CY2379" s="56"/>
      <c r="CZ2379" s="56"/>
      <c r="DA2379" s="56"/>
      <c r="DB2379" s="56"/>
      <c r="DC2379" s="56"/>
      <c r="DD2379" s="56"/>
      <c r="DE2379" s="56"/>
      <c r="DF2379" s="56"/>
      <c r="DG2379" s="56"/>
      <c r="DH2379" s="56"/>
      <c r="DI2379" s="56"/>
      <c r="DJ2379" s="56"/>
      <c r="DK2379" s="56"/>
      <c r="DL2379" s="56"/>
      <c r="DM2379" s="56"/>
      <c r="DN2379" s="56"/>
      <c r="DO2379" s="56"/>
      <c r="DP2379" s="56"/>
      <c r="DQ2379" s="56"/>
      <c r="DR2379" s="56"/>
      <c r="DS2379" s="56"/>
      <c r="DT2379" s="56"/>
      <c r="DU2379" s="56"/>
      <c r="DV2379" s="56"/>
      <c r="DW2379" s="56"/>
      <c r="DX2379" s="56"/>
      <c r="DY2379" s="56"/>
      <c r="DZ2379" s="56"/>
      <c r="EA2379" s="56"/>
      <c r="EB2379" s="56"/>
      <c r="EC2379" s="56"/>
      <c r="ED2379" s="56"/>
      <c r="EE2379" s="56"/>
      <c r="EF2379" s="56"/>
      <c r="EG2379" s="56"/>
      <c r="EH2379" s="56"/>
      <c r="EI2379" s="56"/>
      <c r="EJ2379" s="56"/>
      <c r="EK2379" s="56"/>
      <c r="EL2379" s="56"/>
      <c r="EM2379" s="56"/>
      <c r="EN2379" s="56"/>
      <c r="EO2379" s="56"/>
      <c r="EP2379" s="56"/>
      <c r="EQ2379" s="56"/>
      <c r="ER2379" s="56"/>
      <c r="ES2379" s="56"/>
      <c r="ET2379" s="56"/>
      <c r="EU2379" s="56"/>
      <c r="EV2379" s="56"/>
      <c r="EW2379" s="56"/>
      <c r="EX2379" s="56"/>
      <c r="EY2379" s="56"/>
      <c r="EZ2379" s="56"/>
      <c r="FA2379" s="56"/>
      <c r="FB2379" s="56"/>
      <c r="FC2379" s="56"/>
      <c r="FD2379" s="56"/>
      <c r="FE2379" s="56"/>
      <c r="FF2379" s="56"/>
      <c r="FG2379" s="56"/>
      <c r="FH2379" s="56"/>
      <c r="FI2379" s="56"/>
      <c r="FJ2379" s="56"/>
      <c r="FK2379" s="56"/>
      <c r="FL2379" s="56"/>
      <c r="FM2379" s="56"/>
      <c r="FN2379" s="56"/>
      <c r="FO2379" s="56"/>
      <c r="FP2379" s="56"/>
      <c r="FQ2379" s="56"/>
      <c r="FR2379" s="56"/>
      <c r="FS2379" s="56"/>
      <c r="FT2379" s="56"/>
      <c r="FU2379" s="56"/>
      <c r="FV2379" s="56"/>
      <c r="FW2379" s="56"/>
      <c r="FX2379" s="56"/>
      <c r="FY2379" s="56"/>
      <c r="FZ2379" s="56"/>
      <c r="GA2379" s="56"/>
      <c r="GB2379" s="56"/>
      <c r="GC2379" s="56"/>
      <c r="GD2379" s="56"/>
    </row>
    <row r="2380" spans="1:48" s="18" customFormat="1" ht="17.25" customHeight="1">
      <c r="A2380" s="50"/>
      <c r="B2380" s="93" t="s">
        <v>669</v>
      </c>
      <c r="C2380" s="16"/>
      <c r="D2380" s="52"/>
      <c r="E2380" s="52"/>
      <c r="F2380" s="52"/>
      <c r="G2380" s="52"/>
      <c r="H2380" s="52"/>
      <c r="I2380" s="52"/>
      <c r="J2380" s="52"/>
      <c r="K2380" s="52"/>
      <c r="L2380" s="60">
        <f t="shared" si="74"/>
        <v>3</v>
      </c>
      <c r="M2380" s="60" t="str">
        <f t="shared" si="74"/>
        <v> -</v>
      </c>
      <c r="N2380" s="60" t="str">
        <f t="shared" si="74"/>
        <v> -</v>
      </c>
      <c r="O2380" s="60" t="str">
        <f t="shared" si="74"/>
        <v> -</v>
      </c>
      <c r="P2380" s="60" t="str">
        <f t="shared" si="74"/>
        <v> -</v>
      </c>
      <c r="Q2380" s="23"/>
      <c r="R2380" s="23"/>
      <c r="S2380" s="17"/>
      <c r="T2380" s="47"/>
      <c r="U2380" s="47"/>
      <c r="V2380" s="47"/>
      <c r="W2380" s="47"/>
      <c r="X2380" s="47"/>
      <c r="Y2380" s="47"/>
      <c r="Z2380" s="47"/>
      <c r="AA2380" s="47"/>
      <c r="AB2380" s="47"/>
      <c r="AC2380" s="47"/>
      <c r="AD2380" s="47"/>
      <c r="AE2380" s="47"/>
      <c r="AF2380" s="47"/>
      <c r="AG2380" s="47"/>
      <c r="AH2380" s="47"/>
      <c r="AI2380" s="47"/>
      <c r="AJ2380" s="47"/>
      <c r="AK2380" s="47"/>
      <c r="AL2380" s="47"/>
      <c r="AM2380" s="47"/>
      <c r="AN2380" s="47"/>
      <c r="AO2380" s="47"/>
      <c r="AP2380" s="47"/>
      <c r="AQ2380" s="47"/>
      <c r="AR2380" s="47"/>
      <c r="AS2380" s="47"/>
      <c r="AT2380" s="47"/>
      <c r="AU2380" s="47"/>
      <c r="AV2380" s="47"/>
    </row>
    <row r="2381" spans="1:48" s="27" customFormat="1" ht="18.75" customHeight="1">
      <c r="A2381" s="12"/>
      <c r="B2381" s="97" t="s">
        <v>555</v>
      </c>
      <c r="C2381" s="29" t="s">
        <v>445</v>
      </c>
      <c r="D2381" s="51"/>
      <c r="E2381" s="51"/>
      <c r="F2381" s="51"/>
      <c r="G2381" s="51">
        <v>4</v>
      </c>
      <c r="H2381" s="51">
        <v>4</v>
      </c>
      <c r="I2381" s="51">
        <v>4</v>
      </c>
      <c r="J2381" s="51">
        <v>4</v>
      </c>
      <c r="K2381" s="51">
        <v>4</v>
      </c>
      <c r="L2381" s="40">
        <v>3</v>
      </c>
      <c r="M2381" s="40" t="s">
        <v>556</v>
      </c>
      <c r="N2381" s="40" t="s">
        <v>556</v>
      </c>
      <c r="O2381" s="40" t="s">
        <v>556</v>
      </c>
      <c r="P2381" s="40" t="s">
        <v>556</v>
      </c>
      <c r="Q2381" s="33">
        <v>1</v>
      </c>
      <c r="R2381" s="28">
        <v>1</v>
      </c>
      <c r="S2381" s="28">
        <v>1</v>
      </c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</row>
    <row r="2382" spans="1:19" ht="15" customHeight="1">
      <c r="A2382" s="399" t="s">
        <v>655</v>
      </c>
      <c r="B2382" s="399"/>
      <c r="C2382" s="399"/>
      <c r="D2382" s="399"/>
      <c r="E2382" s="399"/>
      <c r="F2382" s="399"/>
      <c r="G2382" s="399"/>
      <c r="H2382" s="399"/>
      <c r="I2382" s="399"/>
      <c r="J2382" s="399"/>
      <c r="K2382" s="399"/>
      <c r="L2382" s="399"/>
      <c r="M2382" s="399"/>
      <c r="N2382" s="399"/>
      <c r="O2382" s="399"/>
      <c r="P2382" s="399"/>
      <c r="Q2382" s="20"/>
      <c r="R2382" s="20"/>
      <c r="S2382" s="7"/>
    </row>
    <row r="2383" spans="1:19" ht="13.5" customHeight="1">
      <c r="A2383" s="400" t="s">
        <v>909</v>
      </c>
      <c r="B2383" s="400"/>
      <c r="C2383" s="400"/>
      <c r="D2383" s="400"/>
      <c r="E2383" s="400"/>
      <c r="F2383" s="400"/>
      <c r="G2383" s="400"/>
      <c r="H2383" s="400"/>
      <c r="I2383" s="400"/>
      <c r="J2383" s="400"/>
      <c r="K2383" s="400"/>
      <c r="L2383" s="400"/>
      <c r="M2383" s="400"/>
      <c r="N2383" s="400"/>
      <c r="O2383" s="400"/>
      <c r="P2383" s="400"/>
      <c r="Q2383" s="21"/>
      <c r="R2383" s="21"/>
      <c r="S2383" s="8"/>
    </row>
    <row r="2384" spans="1:186" s="57" customFormat="1" ht="17.25" customHeight="1">
      <c r="A2384" s="13">
        <v>42</v>
      </c>
      <c r="B2384" s="108" t="s">
        <v>774</v>
      </c>
      <c r="C2384" s="45"/>
      <c r="D2384" s="44">
        <v>86</v>
      </c>
      <c r="E2384" s="44">
        <v>19</v>
      </c>
      <c r="F2384" s="44">
        <v>139</v>
      </c>
      <c r="G2384" s="44">
        <v>90</v>
      </c>
      <c r="H2384" s="44">
        <v>90</v>
      </c>
      <c r="I2384" s="44">
        <v>90</v>
      </c>
      <c r="J2384" s="44">
        <v>90</v>
      </c>
      <c r="K2384" s="44">
        <v>91</v>
      </c>
      <c r="L2384" s="44">
        <f>SUM(L2385,L2389,L2391)</f>
        <v>4</v>
      </c>
      <c r="M2384" s="44">
        <f>SUM(M2385,M2389,M2391)</f>
        <v>2</v>
      </c>
      <c r="N2384" s="44">
        <f>SUM(N2385,N2389,N2391)</f>
        <v>3</v>
      </c>
      <c r="O2384" s="44">
        <f>SUM(O2385,O2389,O2391)</f>
        <v>2</v>
      </c>
      <c r="P2384" s="44">
        <f>SUM(P2385,P2389,P2391)</f>
        <v>3</v>
      </c>
      <c r="Q2384" s="54" t="s">
        <v>649</v>
      </c>
      <c r="R2384" s="54">
        <v>10</v>
      </c>
      <c r="S2384" s="55" t="s">
        <v>592</v>
      </c>
      <c r="T2384" s="56"/>
      <c r="U2384" s="56"/>
      <c r="V2384" s="56"/>
      <c r="W2384" s="56"/>
      <c r="X2384" s="56"/>
      <c r="Y2384" s="56"/>
      <c r="Z2384" s="56"/>
      <c r="AA2384" s="56"/>
      <c r="AB2384" s="56"/>
      <c r="AC2384" s="56"/>
      <c r="AD2384" s="56"/>
      <c r="AE2384" s="56"/>
      <c r="AF2384" s="56"/>
      <c r="AG2384" s="56"/>
      <c r="AH2384" s="56"/>
      <c r="AI2384" s="56"/>
      <c r="AJ2384" s="56"/>
      <c r="AK2384" s="56"/>
      <c r="AL2384" s="56"/>
      <c r="AM2384" s="56"/>
      <c r="AN2384" s="56"/>
      <c r="AO2384" s="56"/>
      <c r="AP2384" s="56"/>
      <c r="AQ2384" s="56"/>
      <c r="AR2384" s="56"/>
      <c r="AS2384" s="56"/>
      <c r="AT2384" s="56"/>
      <c r="AU2384" s="56"/>
      <c r="AV2384" s="56"/>
      <c r="AW2384" s="56"/>
      <c r="AX2384" s="56"/>
      <c r="AY2384" s="56"/>
      <c r="AZ2384" s="56"/>
      <c r="BA2384" s="56"/>
      <c r="BB2384" s="56"/>
      <c r="BC2384" s="56"/>
      <c r="BD2384" s="56"/>
      <c r="BE2384" s="56"/>
      <c r="BF2384" s="56"/>
      <c r="BG2384" s="56"/>
      <c r="BH2384" s="56"/>
      <c r="BI2384" s="56"/>
      <c r="BJ2384" s="56"/>
      <c r="BK2384" s="56"/>
      <c r="BL2384" s="56"/>
      <c r="BM2384" s="56"/>
      <c r="BN2384" s="56"/>
      <c r="BO2384" s="56"/>
      <c r="BP2384" s="56"/>
      <c r="BQ2384" s="56"/>
      <c r="BR2384" s="56"/>
      <c r="BS2384" s="56"/>
      <c r="BT2384" s="56"/>
      <c r="BU2384" s="56"/>
      <c r="BV2384" s="56"/>
      <c r="BW2384" s="56"/>
      <c r="BX2384" s="56"/>
      <c r="BY2384" s="56"/>
      <c r="BZ2384" s="56"/>
      <c r="CA2384" s="56"/>
      <c r="CB2384" s="56"/>
      <c r="CC2384" s="56"/>
      <c r="CD2384" s="56"/>
      <c r="CE2384" s="56"/>
      <c r="CF2384" s="56"/>
      <c r="CG2384" s="56"/>
      <c r="CH2384" s="56"/>
      <c r="CI2384" s="56"/>
      <c r="CJ2384" s="56"/>
      <c r="CK2384" s="56"/>
      <c r="CL2384" s="56"/>
      <c r="CM2384" s="56"/>
      <c r="CN2384" s="56"/>
      <c r="CO2384" s="56"/>
      <c r="CP2384" s="56"/>
      <c r="CQ2384" s="56"/>
      <c r="CR2384" s="56"/>
      <c r="CS2384" s="56"/>
      <c r="CT2384" s="56"/>
      <c r="CU2384" s="56"/>
      <c r="CV2384" s="56"/>
      <c r="CW2384" s="56"/>
      <c r="CX2384" s="56"/>
      <c r="CY2384" s="56"/>
      <c r="CZ2384" s="56"/>
      <c r="DA2384" s="56"/>
      <c r="DB2384" s="56"/>
      <c r="DC2384" s="56"/>
      <c r="DD2384" s="56"/>
      <c r="DE2384" s="56"/>
      <c r="DF2384" s="56"/>
      <c r="DG2384" s="56"/>
      <c r="DH2384" s="56"/>
      <c r="DI2384" s="56"/>
      <c r="DJ2384" s="56"/>
      <c r="DK2384" s="56"/>
      <c r="DL2384" s="56"/>
      <c r="DM2384" s="56"/>
      <c r="DN2384" s="56"/>
      <c r="DO2384" s="56"/>
      <c r="DP2384" s="56"/>
      <c r="DQ2384" s="56"/>
      <c r="DR2384" s="56"/>
      <c r="DS2384" s="56"/>
      <c r="DT2384" s="56"/>
      <c r="DU2384" s="56"/>
      <c r="DV2384" s="56"/>
      <c r="DW2384" s="56"/>
      <c r="DX2384" s="56"/>
      <c r="DY2384" s="56"/>
      <c r="DZ2384" s="56"/>
      <c r="EA2384" s="56"/>
      <c r="EB2384" s="56"/>
      <c r="EC2384" s="56"/>
      <c r="ED2384" s="56"/>
      <c r="EE2384" s="56"/>
      <c r="EF2384" s="56"/>
      <c r="EG2384" s="56"/>
      <c r="EH2384" s="56"/>
      <c r="EI2384" s="56"/>
      <c r="EJ2384" s="56"/>
      <c r="EK2384" s="56"/>
      <c r="EL2384" s="56"/>
      <c r="EM2384" s="56"/>
      <c r="EN2384" s="56"/>
      <c r="EO2384" s="56"/>
      <c r="EP2384" s="56"/>
      <c r="EQ2384" s="56"/>
      <c r="ER2384" s="56"/>
      <c r="ES2384" s="56"/>
      <c r="ET2384" s="56"/>
      <c r="EU2384" s="56"/>
      <c r="EV2384" s="56"/>
      <c r="EW2384" s="56"/>
      <c r="EX2384" s="56"/>
      <c r="EY2384" s="56"/>
      <c r="EZ2384" s="56"/>
      <c r="FA2384" s="56"/>
      <c r="FB2384" s="56"/>
      <c r="FC2384" s="56"/>
      <c r="FD2384" s="56"/>
      <c r="FE2384" s="56"/>
      <c r="FF2384" s="56"/>
      <c r="FG2384" s="56"/>
      <c r="FH2384" s="56"/>
      <c r="FI2384" s="56"/>
      <c r="FJ2384" s="56"/>
      <c r="FK2384" s="56"/>
      <c r="FL2384" s="56"/>
      <c r="FM2384" s="56"/>
      <c r="FN2384" s="56"/>
      <c r="FO2384" s="56"/>
      <c r="FP2384" s="56"/>
      <c r="FQ2384" s="56"/>
      <c r="FR2384" s="56"/>
      <c r="FS2384" s="56"/>
      <c r="FT2384" s="56"/>
      <c r="FU2384" s="56"/>
      <c r="FV2384" s="56"/>
      <c r="FW2384" s="56"/>
      <c r="FX2384" s="56"/>
      <c r="FY2384" s="56"/>
      <c r="FZ2384" s="56"/>
      <c r="GA2384" s="56"/>
      <c r="GB2384" s="56"/>
      <c r="GC2384" s="56"/>
      <c r="GD2384" s="56"/>
    </row>
    <row r="2385" spans="1:48" s="18" customFormat="1" ht="17.25" customHeight="1">
      <c r="A2385" s="50"/>
      <c r="B2385" s="93" t="s">
        <v>669</v>
      </c>
      <c r="C2385" s="16"/>
      <c r="D2385" s="52"/>
      <c r="E2385" s="52"/>
      <c r="F2385" s="52"/>
      <c r="G2385" s="52"/>
      <c r="H2385" s="52"/>
      <c r="I2385" s="52"/>
      <c r="J2385" s="52"/>
      <c r="K2385" s="52"/>
      <c r="L2385" s="60">
        <f>SUM(L2386:L2388)</f>
        <v>2</v>
      </c>
      <c r="M2385" s="60">
        <f>SUM(M2386:M2388)</f>
        <v>2</v>
      </c>
      <c r="N2385" s="60">
        <f>SUM(N2386:N2388)</f>
        <v>3</v>
      </c>
      <c r="O2385" s="60">
        <f>SUM(O2386:O2388)</f>
        <v>2</v>
      </c>
      <c r="P2385" s="60">
        <f>SUM(P2386:P2388)</f>
        <v>1</v>
      </c>
      <c r="Q2385" s="23"/>
      <c r="R2385" s="23"/>
      <c r="S2385" s="17"/>
      <c r="T2385" s="47"/>
      <c r="U2385" s="47"/>
      <c r="V2385" s="47"/>
      <c r="W2385" s="47"/>
      <c r="X2385" s="47"/>
      <c r="Y2385" s="47"/>
      <c r="Z2385" s="47"/>
      <c r="AA2385" s="47"/>
      <c r="AB2385" s="47"/>
      <c r="AC2385" s="47"/>
      <c r="AD2385" s="47"/>
      <c r="AE2385" s="47"/>
      <c r="AF2385" s="47"/>
      <c r="AG2385" s="47"/>
      <c r="AH2385" s="47"/>
      <c r="AI2385" s="47"/>
      <c r="AJ2385" s="47"/>
      <c r="AK2385" s="47"/>
      <c r="AL2385" s="47"/>
      <c r="AM2385" s="47"/>
      <c r="AN2385" s="47"/>
      <c r="AO2385" s="47"/>
      <c r="AP2385" s="47"/>
      <c r="AQ2385" s="47"/>
      <c r="AR2385" s="47"/>
      <c r="AS2385" s="47"/>
      <c r="AT2385" s="47"/>
      <c r="AU2385" s="47"/>
      <c r="AV2385" s="47"/>
    </row>
    <row r="2386" spans="1:48" s="27" customFormat="1" ht="17.25" customHeight="1">
      <c r="A2386" s="12"/>
      <c r="B2386" s="97" t="s">
        <v>555</v>
      </c>
      <c r="C2386" s="29" t="s">
        <v>445</v>
      </c>
      <c r="D2386" s="51"/>
      <c r="E2386" s="51"/>
      <c r="F2386" s="51"/>
      <c r="G2386" s="51"/>
      <c r="H2386" s="51"/>
      <c r="I2386" s="51"/>
      <c r="J2386" s="51"/>
      <c r="K2386" s="51"/>
      <c r="L2386" s="40">
        <v>1</v>
      </c>
      <c r="M2386" s="40">
        <v>1</v>
      </c>
      <c r="N2386" s="40" t="s">
        <v>556</v>
      </c>
      <c r="O2386" s="40" t="s">
        <v>556</v>
      </c>
      <c r="P2386" s="40" t="s">
        <v>556</v>
      </c>
      <c r="Q2386" s="33">
        <v>1</v>
      </c>
      <c r="R2386" s="28">
        <v>1</v>
      </c>
      <c r="S2386" s="28">
        <v>1</v>
      </c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</row>
    <row r="2387" spans="1:48" s="27" customFormat="1" ht="17.25" customHeight="1">
      <c r="A2387" s="12"/>
      <c r="B2387" s="97" t="s">
        <v>460</v>
      </c>
      <c r="C2387" s="29" t="s">
        <v>544</v>
      </c>
      <c r="D2387" s="51"/>
      <c r="E2387" s="51"/>
      <c r="F2387" s="51"/>
      <c r="G2387" s="51"/>
      <c r="H2387" s="51"/>
      <c r="I2387" s="51"/>
      <c r="J2387" s="51"/>
      <c r="K2387" s="51"/>
      <c r="L2387" s="40">
        <v>1</v>
      </c>
      <c r="M2387" s="40" t="s">
        <v>556</v>
      </c>
      <c r="N2387" s="40">
        <v>2</v>
      </c>
      <c r="O2387" s="40" t="s">
        <v>556</v>
      </c>
      <c r="P2387" s="40" t="s">
        <v>556</v>
      </c>
      <c r="Q2387" s="30"/>
      <c r="R2387" s="30"/>
      <c r="S2387" s="30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</row>
    <row r="2388" spans="1:48" s="27" customFormat="1" ht="17.25" customHeight="1">
      <c r="A2388" s="12"/>
      <c r="B2388" s="97" t="s">
        <v>411</v>
      </c>
      <c r="C2388" s="15" t="s">
        <v>412</v>
      </c>
      <c r="D2388" s="51"/>
      <c r="E2388" s="51"/>
      <c r="F2388" s="51"/>
      <c r="G2388" s="51"/>
      <c r="H2388" s="51"/>
      <c r="I2388" s="51"/>
      <c r="J2388" s="51"/>
      <c r="K2388" s="51"/>
      <c r="L2388" s="40" t="s">
        <v>556</v>
      </c>
      <c r="M2388" s="40">
        <v>1</v>
      </c>
      <c r="N2388" s="40">
        <v>1</v>
      </c>
      <c r="O2388" s="40">
        <v>2</v>
      </c>
      <c r="P2388" s="40">
        <v>1</v>
      </c>
      <c r="Q2388" s="30"/>
      <c r="R2388" s="30"/>
      <c r="S2388" s="30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</row>
    <row r="2389" spans="1:48" s="18" customFormat="1" ht="17.25" customHeight="1">
      <c r="A2389" s="50"/>
      <c r="B2389" s="93" t="s">
        <v>670</v>
      </c>
      <c r="C2389" s="16"/>
      <c r="D2389" s="52"/>
      <c r="E2389" s="52"/>
      <c r="F2389" s="52"/>
      <c r="G2389" s="52"/>
      <c r="H2389" s="52"/>
      <c r="I2389" s="52"/>
      <c r="J2389" s="52"/>
      <c r="K2389" s="52"/>
      <c r="L2389" s="60">
        <f>L2390</f>
        <v>1</v>
      </c>
      <c r="M2389" s="60" t="str">
        <f aca="true" t="shared" si="75" ref="M2389:S2389">M2390</f>
        <v> -</v>
      </c>
      <c r="N2389" s="60"/>
      <c r="O2389" s="60" t="str">
        <f t="shared" si="75"/>
        <v> -</v>
      </c>
      <c r="P2389" s="60">
        <f t="shared" si="75"/>
        <v>1</v>
      </c>
      <c r="Q2389" s="238">
        <f t="shared" si="75"/>
        <v>0</v>
      </c>
      <c r="R2389" s="52">
        <f t="shared" si="75"/>
        <v>0</v>
      </c>
      <c r="S2389" s="52">
        <f t="shared" si="75"/>
        <v>0</v>
      </c>
      <c r="T2389" s="47"/>
      <c r="U2389" s="47"/>
      <c r="V2389" s="47"/>
      <c r="W2389" s="47"/>
      <c r="X2389" s="47"/>
      <c r="Y2389" s="47"/>
      <c r="Z2389" s="47"/>
      <c r="AA2389" s="47"/>
      <c r="AB2389" s="47"/>
      <c r="AC2389" s="47"/>
      <c r="AD2389" s="47"/>
      <c r="AE2389" s="47"/>
      <c r="AF2389" s="47"/>
      <c r="AG2389" s="47"/>
      <c r="AH2389" s="47"/>
      <c r="AI2389" s="47"/>
      <c r="AJ2389" s="47"/>
      <c r="AK2389" s="47"/>
      <c r="AL2389" s="47"/>
      <c r="AM2389" s="47"/>
      <c r="AN2389" s="47"/>
      <c r="AO2389" s="47"/>
      <c r="AP2389" s="47"/>
      <c r="AQ2389" s="47"/>
      <c r="AR2389" s="47"/>
      <c r="AS2389" s="47"/>
      <c r="AT2389" s="47"/>
      <c r="AU2389" s="47"/>
      <c r="AV2389" s="47"/>
    </row>
    <row r="2390" spans="1:48" s="27" customFormat="1" ht="17.25" customHeight="1">
      <c r="A2390" s="12"/>
      <c r="B2390" s="97" t="s">
        <v>561</v>
      </c>
      <c r="C2390" s="29" t="s">
        <v>1053</v>
      </c>
      <c r="D2390" s="51"/>
      <c r="E2390" s="51"/>
      <c r="F2390" s="51"/>
      <c r="G2390" s="51"/>
      <c r="H2390" s="51"/>
      <c r="I2390" s="51"/>
      <c r="J2390" s="51"/>
      <c r="K2390" s="51"/>
      <c r="L2390" s="40">
        <v>1</v>
      </c>
      <c r="M2390" s="40" t="s">
        <v>556</v>
      </c>
      <c r="N2390" s="40" t="s">
        <v>556</v>
      </c>
      <c r="O2390" s="40" t="s">
        <v>556</v>
      </c>
      <c r="P2390" s="40">
        <v>1</v>
      </c>
      <c r="Q2390" s="30"/>
      <c r="R2390" s="30"/>
      <c r="S2390" s="30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</row>
    <row r="2391" spans="1:48" s="18" customFormat="1" ht="17.25" customHeight="1">
      <c r="A2391" s="50"/>
      <c r="B2391" s="93" t="s">
        <v>37</v>
      </c>
      <c r="C2391" s="16"/>
      <c r="D2391" s="52"/>
      <c r="E2391" s="52"/>
      <c r="F2391" s="52"/>
      <c r="G2391" s="52"/>
      <c r="H2391" s="52"/>
      <c r="I2391" s="52"/>
      <c r="J2391" s="52"/>
      <c r="K2391" s="52"/>
      <c r="L2391" s="60">
        <f>SUM(L2392:L2393)</f>
        <v>1</v>
      </c>
      <c r="M2391" s="60" t="s">
        <v>556</v>
      </c>
      <c r="N2391" s="60" t="s">
        <v>556</v>
      </c>
      <c r="O2391" s="60" t="s">
        <v>556</v>
      </c>
      <c r="P2391" s="60">
        <f>SUM(P2392:P2393)</f>
        <v>1</v>
      </c>
      <c r="Q2391" s="23"/>
      <c r="R2391" s="23"/>
      <c r="S2391" s="17"/>
      <c r="T2391" s="47"/>
      <c r="U2391" s="47"/>
      <c r="V2391" s="47"/>
      <c r="W2391" s="47"/>
      <c r="X2391" s="47"/>
      <c r="Y2391" s="47"/>
      <c r="Z2391" s="47"/>
      <c r="AA2391" s="47"/>
      <c r="AB2391" s="47"/>
      <c r="AC2391" s="47"/>
      <c r="AD2391" s="47"/>
      <c r="AE2391" s="47"/>
      <c r="AF2391" s="47"/>
      <c r="AG2391" s="47"/>
      <c r="AH2391" s="47"/>
      <c r="AI2391" s="47"/>
      <c r="AJ2391" s="47"/>
      <c r="AK2391" s="47"/>
      <c r="AL2391" s="47"/>
      <c r="AM2391" s="47"/>
      <c r="AN2391" s="47"/>
      <c r="AO2391" s="47"/>
      <c r="AP2391" s="47"/>
      <c r="AQ2391" s="47"/>
      <c r="AR2391" s="47"/>
      <c r="AS2391" s="47"/>
      <c r="AT2391" s="47"/>
      <c r="AU2391" s="47"/>
      <c r="AV2391" s="47"/>
    </row>
    <row r="2392" spans="1:48" s="27" customFormat="1" ht="17.25" customHeight="1">
      <c r="A2392" s="12"/>
      <c r="B2392" s="97" t="s">
        <v>38</v>
      </c>
      <c r="C2392" s="29" t="s">
        <v>457</v>
      </c>
      <c r="D2392" s="51"/>
      <c r="E2392" s="51"/>
      <c r="F2392" s="51"/>
      <c r="G2392" s="51"/>
      <c r="H2392" s="51"/>
      <c r="I2392" s="51"/>
      <c r="J2392" s="51"/>
      <c r="K2392" s="51"/>
      <c r="L2392" s="40" t="s">
        <v>556</v>
      </c>
      <c r="M2392" s="40" t="s">
        <v>556</v>
      </c>
      <c r="N2392" s="40" t="s">
        <v>556</v>
      </c>
      <c r="O2392" s="40" t="s">
        <v>556</v>
      </c>
      <c r="P2392" s="40">
        <v>1</v>
      </c>
      <c r="Q2392" s="33">
        <v>1</v>
      </c>
      <c r="R2392" s="28">
        <v>1</v>
      </c>
      <c r="S2392" s="28">
        <v>1</v>
      </c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</row>
    <row r="2393" spans="1:48" s="27" customFormat="1" ht="17.25" customHeight="1">
      <c r="A2393" s="12"/>
      <c r="B2393" s="106" t="s">
        <v>1045</v>
      </c>
      <c r="C2393" s="66" t="s">
        <v>1046</v>
      </c>
      <c r="D2393" s="51"/>
      <c r="E2393" s="51"/>
      <c r="F2393" s="51"/>
      <c r="G2393" s="51"/>
      <c r="H2393" s="51"/>
      <c r="I2393" s="51"/>
      <c r="J2393" s="51"/>
      <c r="K2393" s="51"/>
      <c r="L2393" s="40">
        <v>1</v>
      </c>
      <c r="M2393" s="40" t="s">
        <v>556</v>
      </c>
      <c r="N2393" s="40" t="s">
        <v>556</v>
      </c>
      <c r="O2393" s="40" t="s">
        <v>556</v>
      </c>
      <c r="P2393" s="40" t="s">
        <v>556</v>
      </c>
      <c r="Q2393" s="30"/>
      <c r="R2393" s="30"/>
      <c r="S2393" s="30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</row>
    <row r="2394" spans="1:19" ht="15" customHeight="1">
      <c r="A2394" s="399" t="s">
        <v>654</v>
      </c>
      <c r="B2394" s="399"/>
      <c r="C2394" s="399"/>
      <c r="D2394" s="399"/>
      <c r="E2394" s="399"/>
      <c r="F2394" s="399"/>
      <c r="G2394" s="399"/>
      <c r="H2394" s="399"/>
      <c r="I2394" s="399"/>
      <c r="J2394" s="399"/>
      <c r="K2394" s="399"/>
      <c r="L2394" s="399"/>
      <c r="M2394" s="399"/>
      <c r="N2394" s="399"/>
      <c r="O2394" s="399"/>
      <c r="P2394" s="399"/>
      <c r="Q2394" s="20"/>
      <c r="R2394" s="20"/>
      <c r="S2394" s="7"/>
    </row>
    <row r="2395" spans="1:19" ht="13.5" customHeight="1">
      <c r="A2395" s="400" t="s">
        <v>676</v>
      </c>
      <c r="B2395" s="400"/>
      <c r="C2395" s="400"/>
      <c r="D2395" s="400"/>
      <c r="E2395" s="400"/>
      <c r="F2395" s="400"/>
      <c r="G2395" s="400"/>
      <c r="H2395" s="400"/>
      <c r="I2395" s="400"/>
      <c r="J2395" s="400"/>
      <c r="K2395" s="400"/>
      <c r="L2395" s="400"/>
      <c r="M2395" s="400"/>
      <c r="N2395" s="400"/>
      <c r="O2395" s="400"/>
      <c r="P2395" s="400"/>
      <c r="Q2395" s="21"/>
      <c r="R2395" s="21"/>
      <c r="S2395" s="8"/>
    </row>
    <row r="2396" spans="1:188" s="57" customFormat="1" ht="18" customHeight="1">
      <c r="A2396" s="13">
        <v>43</v>
      </c>
      <c r="B2396" s="108" t="s">
        <v>367</v>
      </c>
      <c r="C2396" s="45"/>
      <c r="D2396" s="44">
        <v>187</v>
      </c>
      <c r="E2396" s="44">
        <v>46</v>
      </c>
      <c r="F2396" s="44"/>
      <c r="G2396" s="44">
        <v>189</v>
      </c>
      <c r="H2396" s="44">
        <v>191</v>
      </c>
      <c r="I2396" s="44">
        <v>193</v>
      </c>
      <c r="J2396" s="44">
        <v>196</v>
      </c>
      <c r="K2396" s="44">
        <v>198</v>
      </c>
      <c r="L2396" s="44">
        <f>SUM(L2397,L2403,L2407)</f>
        <v>12</v>
      </c>
      <c r="M2396" s="44">
        <f>SUM(M2397,M2403,M2407)</f>
        <v>6</v>
      </c>
      <c r="N2396" s="44">
        <f>SUM(N2397,N2403,N2407)</f>
        <v>6</v>
      </c>
      <c r="O2396" s="44">
        <f>SUM(O2397,O2403,O2407)</f>
        <v>9</v>
      </c>
      <c r="P2396" s="44">
        <f>SUM(P2397,P2403,P2407)</f>
        <v>8</v>
      </c>
      <c r="Q2396" s="54" t="s">
        <v>648</v>
      </c>
      <c r="R2396" s="54">
        <v>13</v>
      </c>
      <c r="S2396" s="55" t="s">
        <v>572</v>
      </c>
      <c r="T2396" s="56"/>
      <c r="U2396" s="56"/>
      <c r="V2396" s="56"/>
      <c r="W2396" s="56"/>
      <c r="X2396" s="56"/>
      <c r="Y2396" s="56"/>
      <c r="Z2396" s="56"/>
      <c r="AA2396" s="56"/>
      <c r="AB2396" s="56"/>
      <c r="AC2396" s="56"/>
      <c r="AD2396" s="56"/>
      <c r="AE2396" s="56"/>
      <c r="AF2396" s="56"/>
      <c r="AG2396" s="56"/>
      <c r="AH2396" s="56"/>
      <c r="AI2396" s="56"/>
      <c r="AJ2396" s="56"/>
      <c r="AK2396" s="56"/>
      <c r="AL2396" s="56"/>
      <c r="AM2396" s="56"/>
      <c r="AN2396" s="56"/>
      <c r="AO2396" s="56"/>
      <c r="AP2396" s="56"/>
      <c r="AQ2396" s="56"/>
      <c r="AR2396" s="56"/>
      <c r="AS2396" s="56"/>
      <c r="AT2396" s="56"/>
      <c r="AU2396" s="56"/>
      <c r="AV2396" s="56"/>
      <c r="AW2396" s="56"/>
      <c r="AX2396" s="56"/>
      <c r="AY2396" s="56"/>
      <c r="AZ2396" s="56"/>
      <c r="BA2396" s="56"/>
      <c r="BB2396" s="56"/>
      <c r="BC2396" s="56"/>
      <c r="BD2396" s="56"/>
      <c r="BE2396" s="56"/>
      <c r="BF2396" s="56"/>
      <c r="BG2396" s="56"/>
      <c r="BH2396" s="56"/>
      <c r="BI2396" s="56"/>
      <c r="BJ2396" s="56"/>
      <c r="BK2396" s="56"/>
      <c r="BL2396" s="56"/>
      <c r="BM2396" s="56"/>
      <c r="BN2396" s="56"/>
      <c r="BO2396" s="56"/>
      <c r="BP2396" s="56"/>
      <c r="BQ2396" s="56"/>
      <c r="BR2396" s="56"/>
      <c r="BS2396" s="56"/>
      <c r="BT2396" s="56"/>
      <c r="BU2396" s="56"/>
      <c r="BV2396" s="56"/>
      <c r="BW2396" s="56"/>
      <c r="BX2396" s="56"/>
      <c r="BY2396" s="56"/>
      <c r="BZ2396" s="56"/>
      <c r="CA2396" s="56"/>
      <c r="CB2396" s="56"/>
      <c r="CC2396" s="56"/>
      <c r="CD2396" s="56"/>
      <c r="CE2396" s="56"/>
      <c r="CF2396" s="56"/>
      <c r="CG2396" s="56"/>
      <c r="CH2396" s="56"/>
      <c r="CI2396" s="56"/>
      <c r="CJ2396" s="56"/>
      <c r="CK2396" s="56"/>
      <c r="CL2396" s="56"/>
      <c r="CM2396" s="56"/>
      <c r="CN2396" s="56"/>
      <c r="CO2396" s="56"/>
      <c r="CP2396" s="56"/>
      <c r="CQ2396" s="56"/>
      <c r="CR2396" s="56"/>
      <c r="CS2396" s="56"/>
      <c r="CT2396" s="56"/>
      <c r="CU2396" s="56"/>
      <c r="CV2396" s="56"/>
      <c r="CW2396" s="56"/>
      <c r="CX2396" s="56"/>
      <c r="CY2396" s="56"/>
      <c r="CZ2396" s="56"/>
      <c r="DA2396" s="56"/>
      <c r="DB2396" s="56"/>
      <c r="DC2396" s="56"/>
      <c r="DD2396" s="56"/>
      <c r="DE2396" s="56"/>
      <c r="DF2396" s="56"/>
      <c r="DG2396" s="56"/>
      <c r="DH2396" s="56"/>
      <c r="DI2396" s="56"/>
      <c r="DJ2396" s="56"/>
      <c r="DK2396" s="56"/>
      <c r="DL2396" s="56"/>
      <c r="DM2396" s="56"/>
      <c r="DN2396" s="56"/>
      <c r="DO2396" s="56"/>
      <c r="DP2396" s="56"/>
      <c r="DQ2396" s="56"/>
      <c r="DR2396" s="56"/>
      <c r="DS2396" s="56"/>
      <c r="DT2396" s="56"/>
      <c r="DU2396" s="56"/>
      <c r="DV2396" s="56"/>
      <c r="DW2396" s="56"/>
      <c r="DX2396" s="56"/>
      <c r="DY2396" s="56"/>
      <c r="DZ2396" s="56"/>
      <c r="EA2396" s="56"/>
      <c r="EB2396" s="56"/>
      <c r="EC2396" s="56"/>
      <c r="ED2396" s="56"/>
      <c r="EE2396" s="56"/>
      <c r="EF2396" s="56"/>
      <c r="EG2396" s="56"/>
      <c r="EH2396" s="56"/>
      <c r="EI2396" s="56"/>
      <c r="EJ2396" s="56"/>
      <c r="EK2396" s="56"/>
      <c r="EL2396" s="56"/>
      <c r="EM2396" s="56"/>
      <c r="EN2396" s="56"/>
      <c r="EO2396" s="56"/>
      <c r="EP2396" s="56"/>
      <c r="EQ2396" s="56"/>
      <c r="ER2396" s="56"/>
      <c r="ES2396" s="56"/>
      <c r="ET2396" s="56"/>
      <c r="EU2396" s="56"/>
      <c r="EV2396" s="56"/>
      <c r="EW2396" s="56"/>
      <c r="EX2396" s="56"/>
      <c r="EY2396" s="56"/>
      <c r="EZ2396" s="56"/>
      <c r="FA2396" s="56"/>
      <c r="FB2396" s="56"/>
      <c r="FC2396" s="56"/>
      <c r="FD2396" s="56"/>
      <c r="FE2396" s="56"/>
      <c r="FF2396" s="56"/>
      <c r="FG2396" s="56"/>
      <c r="FH2396" s="56"/>
      <c r="FI2396" s="56"/>
      <c r="FJ2396" s="56"/>
      <c r="FK2396" s="56"/>
      <c r="FL2396" s="56"/>
      <c r="FM2396" s="56"/>
      <c r="FN2396" s="56"/>
      <c r="FO2396" s="56"/>
      <c r="FP2396" s="56"/>
      <c r="FQ2396" s="56"/>
      <c r="FR2396" s="56"/>
      <c r="FS2396" s="56"/>
      <c r="FT2396" s="56"/>
      <c r="FU2396" s="56"/>
      <c r="FV2396" s="56"/>
      <c r="FW2396" s="56"/>
      <c r="FX2396" s="56"/>
      <c r="FY2396" s="56"/>
      <c r="FZ2396" s="56"/>
      <c r="GA2396" s="56"/>
      <c r="GB2396" s="56"/>
      <c r="GC2396" s="56"/>
      <c r="GD2396" s="56"/>
      <c r="GE2396" s="56"/>
      <c r="GF2396" s="56"/>
    </row>
    <row r="2397" spans="1:48" s="18" customFormat="1" ht="18" customHeight="1">
      <c r="A2397" s="50"/>
      <c r="B2397" s="93" t="s">
        <v>669</v>
      </c>
      <c r="C2397" s="16"/>
      <c r="D2397" s="52"/>
      <c r="E2397" s="52"/>
      <c r="F2397" s="52"/>
      <c r="G2397" s="52"/>
      <c r="H2397" s="52"/>
      <c r="I2397" s="52"/>
      <c r="J2397" s="52"/>
      <c r="K2397" s="52"/>
      <c r="L2397" s="60">
        <f>SUM(L2398:L2402)</f>
        <v>8</v>
      </c>
      <c r="M2397" s="60">
        <f>SUM(M2398:M2402)</f>
        <v>5</v>
      </c>
      <c r="N2397" s="60">
        <f>SUM(N2398:N2402)</f>
        <v>3</v>
      </c>
      <c r="O2397" s="60">
        <f>SUM(O2398:O2402)</f>
        <v>6</v>
      </c>
      <c r="P2397" s="60">
        <f>SUM(P2398:P2402)</f>
        <v>6</v>
      </c>
      <c r="Q2397" s="23"/>
      <c r="R2397" s="23"/>
      <c r="S2397" s="17"/>
      <c r="T2397" s="47"/>
      <c r="U2397" s="47"/>
      <c r="V2397" s="47"/>
      <c r="W2397" s="47"/>
      <c r="X2397" s="47"/>
      <c r="Y2397" s="47"/>
      <c r="Z2397" s="47"/>
      <c r="AA2397" s="47"/>
      <c r="AB2397" s="47"/>
      <c r="AC2397" s="47"/>
      <c r="AD2397" s="47"/>
      <c r="AE2397" s="47"/>
      <c r="AF2397" s="47"/>
      <c r="AG2397" s="47"/>
      <c r="AH2397" s="47"/>
      <c r="AI2397" s="47"/>
      <c r="AJ2397" s="47"/>
      <c r="AK2397" s="47"/>
      <c r="AL2397" s="47"/>
      <c r="AM2397" s="47"/>
      <c r="AN2397" s="47"/>
      <c r="AO2397" s="47"/>
      <c r="AP2397" s="47"/>
      <c r="AQ2397" s="47"/>
      <c r="AR2397" s="47"/>
      <c r="AS2397" s="47"/>
      <c r="AT2397" s="47"/>
      <c r="AU2397" s="47"/>
      <c r="AV2397" s="47"/>
    </row>
    <row r="2398" spans="1:48" s="27" customFormat="1" ht="18.75" customHeight="1">
      <c r="A2398" s="12"/>
      <c r="B2398" s="97" t="s">
        <v>555</v>
      </c>
      <c r="C2398" s="29" t="s">
        <v>445</v>
      </c>
      <c r="D2398" s="51"/>
      <c r="E2398" s="51"/>
      <c r="F2398" s="51"/>
      <c r="G2398" s="51"/>
      <c r="H2398" s="51"/>
      <c r="I2398" s="51"/>
      <c r="J2398" s="51"/>
      <c r="K2398" s="51"/>
      <c r="L2398" s="40">
        <v>6</v>
      </c>
      <c r="M2398" s="40">
        <v>2</v>
      </c>
      <c r="N2398" s="40">
        <v>1</v>
      </c>
      <c r="O2398" s="40">
        <v>4</v>
      </c>
      <c r="P2398" s="40">
        <v>4</v>
      </c>
      <c r="Q2398" s="33">
        <v>1</v>
      </c>
      <c r="R2398" s="28">
        <v>1</v>
      </c>
      <c r="S2398" s="28">
        <v>1</v>
      </c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</row>
    <row r="2399" spans="1:48" s="27" customFormat="1" ht="18.75" customHeight="1">
      <c r="A2399" s="12"/>
      <c r="B2399" s="97" t="s">
        <v>411</v>
      </c>
      <c r="C2399" s="15" t="s">
        <v>412</v>
      </c>
      <c r="D2399" s="51"/>
      <c r="E2399" s="51"/>
      <c r="F2399" s="51"/>
      <c r="G2399" s="51"/>
      <c r="H2399" s="51"/>
      <c r="I2399" s="51"/>
      <c r="J2399" s="51"/>
      <c r="K2399" s="51"/>
      <c r="L2399" s="40">
        <v>1</v>
      </c>
      <c r="M2399" s="40" t="s">
        <v>556</v>
      </c>
      <c r="N2399" s="40">
        <v>1</v>
      </c>
      <c r="O2399" s="40" t="s">
        <v>556</v>
      </c>
      <c r="P2399" s="40" t="s">
        <v>556</v>
      </c>
      <c r="Q2399" s="33"/>
      <c r="R2399" s="28"/>
      <c r="S2399" s="2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</row>
    <row r="2400" spans="1:48" s="27" customFormat="1" ht="18.75" customHeight="1">
      <c r="A2400" s="12"/>
      <c r="B2400" s="97" t="s">
        <v>1294</v>
      </c>
      <c r="C2400" s="29" t="s">
        <v>1295</v>
      </c>
      <c r="D2400" s="51"/>
      <c r="E2400" s="51"/>
      <c r="F2400" s="51"/>
      <c r="G2400" s="51"/>
      <c r="H2400" s="51"/>
      <c r="I2400" s="51"/>
      <c r="J2400" s="51"/>
      <c r="K2400" s="51"/>
      <c r="L2400" s="40">
        <v>1</v>
      </c>
      <c r="M2400" s="40">
        <v>1</v>
      </c>
      <c r="N2400" s="40">
        <v>1</v>
      </c>
      <c r="O2400" s="40">
        <v>1</v>
      </c>
      <c r="P2400" s="40">
        <v>1</v>
      </c>
      <c r="Q2400" s="33"/>
      <c r="R2400" s="28"/>
      <c r="S2400" s="2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</row>
    <row r="2401" spans="1:48" s="27" customFormat="1" ht="18.75" customHeight="1">
      <c r="A2401" s="12"/>
      <c r="B2401" s="105" t="s">
        <v>464</v>
      </c>
      <c r="C2401" s="15" t="s">
        <v>465</v>
      </c>
      <c r="D2401" s="51"/>
      <c r="E2401" s="51"/>
      <c r="F2401" s="51"/>
      <c r="G2401" s="51"/>
      <c r="H2401" s="51"/>
      <c r="I2401" s="51"/>
      <c r="J2401" s="51"/>
      <c r="K2401" s="51"/>
      <c r="L2401" s="40" t="s">
        <v>556</v>
      </c>
      <c r="M2401" s="40">
        <v>1</v>
      </c>
      <c r="N2401" s="40" t="s">
        <v>556</v>
      </c>
      <c r="O2401" s="40" t="s">
        <v>556</v>
      </c>
      <c r="P2401" s="40">
        <v>1</v>
      </c>
      <c r="Q2401" s="33"/>
      <c r="R2401" s="28"/>
      <c r="S2401" s="2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</row>
    <row r="2402" spans="1:48" s="27" customFormat="1" ht="18.75" customHeight="1">
      <c r="A2402" s="12"/>
      <c r="B2402" s="97" t="s">
        <v>797</v>
      </c>
      <c r="C2402" s="29" t="s">
        <v>798</v>
      </c>
      <c r="D2402" s="51"/>
      <c r="E2402" s="51"/>
      <c r="F2402" s="51"/>
      <c r="G2402" s="51"/>
      <c r="H2402" s="51"/>
      <c r="I2402" s="51"/>
      <c r="J2402" s="51"/>
      <c r="K2402" s="51"/>
      <c r="L2402" s="40" t="s">
        <v>556</v>
      </c>
      <c r="M2402" s="40">
        <v>1</v>
      </c>
      <c r="N2402" s="40" t="s">
        <v>556</v>
      </c>
      <c r="O2402" s="40">
        <v>1</v>
      </c>
      <c r="P2402" s="40" t="s">
        <v>556</v>
      </c>
      <c r="Q2402" s="33"/>
      <c r="R2402" s="28"/>
      <c r="S2402" s="2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</row>
    <row r="2403" spans="1:48" s="18" customFormat="1" ht="19.5" customHeight="1">
      <c r="A2403" s="50"/>
      <c r="B2403" s="93" t="s">
        <v>670</v>
      </c>
      <c r="C2403" s="16"/>
      <c r="D2403" s="52"/>
      <c r="E2403" s="52"/>
      <c r="F2403" s="52"/>
      <c r="G2403" s="52"/>
      <c r="H2403" s="52"/>
      <c r="I2403" s="52"/>
      <c r="J2403" s="52"/>
      <c r="K2403" s="52"/>
      <c r="L2403" s="60">
        <f>SUM(L2404:L2406)</f>
        <v>2</v>
      </c>
      <c r="M2403" s="60" t="s">
        <v>556</v>
      </c>
      <c r="N2403" s="60">
        <f>SUM(N2404:N2406)</f>
        <v>3</v>
      </c>
      <c r="O2403" s="60">
        <f>SUM(O2404:O2406)</f>
        <v>3</v>
      </c>
      <c r="P2403" s="60">
        <f>SUM(P2404:P2406)</f>
        <v>1</v>
      </c>
      <c r="Q2403" s="238">
        <f>Q2404</f>
        <v>0</v>
      </c>
      <c r="R2403" s="52">
        <f>R2404</f>
        <v>0</v>
      </c>
      <c r="S2403" s="52">
        <f>S2404</f>
        <v>0</v>
      </c>
      <c r="T2403" s="47"/>
      <c r="U2403" s="47"/>
      <c r="V2403" s="47"/>
      <c r="W2403" s="47"/>
      <c r="X2403" s="47"/>
      <c r="Y2403" s="47"/>
      <c r="Z2403" s="47"/>
      <c r="AA2403" s="47"/>
      <c r="AB2403" s="47"/>
      <c r="AC2403" s="47"/>
      <c r="AD2403" s="47"/>
      <c r="AE2403" s="47"/>
      <c r="AF2403" s="47"/>
      <c r="AG2403" s="47"/>
      <c r="AH2403" s="47"/>
      <c r="AI2403" s="47"/>
      <c r="AJ2403" s="47"/>
      <c r="AK2403" s="47"/>
      <c r="AL2403" s="47"/>
      <c r="AM2403" s="47"/>
      <c r="AN2403" s="47"/>
      <c r="AO2403" s="47"/>
      <c r="AP2403" s="47"/>
      <c r="AQ2403" s="47"/>
      <c r="AR2403" s="47"/>
      <c r="AS2403" s="47"/>
      <c r="AT2403" s="47"/>
      <c r="AU2403" s="47"/>
      <c r="AV2403" s="47"/>
    </row>
    <row r="2404" spans="1:48" s="27" customFormat="1" ht="18" customHeight="1">
      <c r="A2404" s="12"/>
      <c r="B2404" s="97" t="s">
        <v>561</v>
      </c>
      <c r="C2404" s="29" t="s">
        <v>1053</v>
      </c>
      <c r="D2404" s="51"/>
      <c r="E2404" s="51"/>
      <c r="F2404" s="51"/>
      <c r="G2404" s="51"/>
      <c r="H2404" s="51"/>
      <c r="I2404" s="51"/>
      <c r="J2404" s="51"/>
      <c r="K2404" s="51"/>
      <c r="L2404" s="40">
        <v>1</v>
      </c>
      <c r="M2404" s="40" t="s">
        <v>556</v>
      </c>
      <c r="N2404" s="40" t="s">
        <v>556</v>
      </c>
      <c r="O2404" s="40">
        <v>2</v>
      </c>
      <c r="P2404" s="40">
        <v>1</v>
      </c>
      <c r="Q2404" s="30"/>
      <c r="R2404" s="30"/>
      <c r="S2404" s="30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</row>
    <row r="2405" spans="1:48" s="27" customFormat="1" ht="18" customHeight="1">
      <c r="A2405" s="12"/>
      <c r="B2405" s="97" t="s">
        <v>566</v>
      </c>
      <c r="C2405" s="15" t="s">
        <v>567</v>
      </c>
      <c r="D2405" s="51"/>
      <c r="E2405" s="51"/>
      <c r="F2405" s="51"/>
      <c r="G2405" s="51"/>
      <c r="H2405" s="51"/>
      <c r="I2405" s="51"/>
      <c r="J2405" s="51"/>
      <c r="K2405" s="51"/>
      <c r="L2405" s="40">
        <v>1</v>
      </c>
      <c r="M2405" s="40" t="s">
        <v>556</v>
      </c>
      <c r="N2405" s="40">
        <v>2</v>
      </c>
      <c r="O2405" s="40">
        <v>1</v>
      </c>
      <c r="P2405" s="40" t="s">
        <v>556</v>
      </c>
      <c r="Q2405" s="30"/>
      <c r="R2405" s="30"/>
      <c r="S2405" s="30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</row>
    <row r="2406" spans="1:48" s="27" customFormat="1" ht="18" customHeight="1">
      <c r="A2406" s="12"/>
      <c r="B2406" s="97" t="s">
        <v>403</v>
      </c>
      <c r="C2406" s="15" t="s">
        <v>404</v>
      </c>
      <c r="D2406" s="51"/>
      <c r="E2406" s="51"/>
      <c r="F2406" s="51"/>
      <c r="G2406" s="51"/>
      <c r="H2406" s="51"/>
      <c r="I2406" s="51"/>
      <c r="J2406" s="51"/>
      <c r="K2406" s="51"/>
      <c r="L2406" s="40" t="s">
        <v>556</v>
      </c>
      <c r="M2406" s="40" t="s">
        <v>556</v>
      </c>
      <c r="N2406" s="40">
        <v>1</v>
      </c>
      <c r="O2406" s="40" t="s">
        <v>556</v>
      </c>
      <c r="P2406" s="40" t="s">
        <v>556</v>
      </c>
      <c r="Q2406" s="30"/>
      <c r="R2406" s="30"/>
      <c r="S2406" s="30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</row>
    <row r="2407" spans="1:48" s="18" customFormat="1" ht="18" customHeight="1">
      <c r="A2407" s="50"/>
      <c r="B2407" s="93" t="s">
        <v>37</v>
      </c>
      <c r="C2407" s="16"/>
      <c r="D2407" s="52"/>
      <c r="E2407" s="52"/>
      <c r="F2407" s="52"/>
      <c r="G2407" s="52"/>
      <c r="H2407" s="52"/>
      <c r="I2407" s="52"/>
      <c r="J2407" s="52"/>
      <c r="K2407" s="52"/>
      <c r="L2407" s="60">
        <f>SUM(L2408:L2410)</f>
        <v>2</v>
      </c>
      <c r="M2407" s="60">
        <f>SUM(M2408:M2410)</f>
        <v>1</v>
      </c>
      <c r="N2407" s="60" t="s">
        <v>556</v>
      </c>
      <c r="O2407" s="60" t="s">
        <v>556</v>
      </c>
      <c r="P2407" s="60">
        <f>SUM(P2408:P2410)</f>
        <v>1</v>
      </c>
      <c r="Q2407" s="23"/>
      <c r="R2407" s="23"/>
      <c r="S2407" s="17"/>
      <c r="T2407" s="47"/>
      <c r="U2407" s="47"/>
      <c r="V2407" s="47"/>
      <c r="W2407" s="47"/>
      <c r="X2407" s="47"/>
      <c r="Y2407" s="47"/>
      <c r="Z2407" s="47"/>
      <c r="AA2407" s="47"/>
      <c r="AB2407" s="47"/>
      <c r="AC2407" s="47"/>
      <c r="AD2407" s="47"/>
      <c r="AE2407" s="47"/>
      <c r="AF2407" s="47"/>
      <c r="AG2407" s="47"/>
      <c r="AH2407" s="47"/>
      <c r="AI2407" s="47"/>
      <c r="AJ2407" s="47"/>
      <c r="AK2407" s="47"/>
      <c r="AL2407" s="47"/>
      <c r="AM2407" s="47"/>
      <c r="AN2407" s="47"/>
      <c r="AO2407" s="47"/>
      <c r="AP2407" s="47"/>
      <c r="AQ2407" s="47"/>
      <c r="AR2407" s="47"/>
      <c r="AS2407" s="47"/>
      <c r="AT2407" s="47"/>
      <c r="AU2407" s="47"/>
      <c r="AV2407" s="47"/>
    </row>
    <row r="2408" spans="1:48" s="27" customFormat="1" ht="18" customHeight="1">
      <c r="A2408" s="12"/>
      <c r="B2408" s="97" t="s">
        <v>38</v>
      </c>
      <c r="C2408" s="29" t="s">
        <v>457</v>
      </c>
      <c r="D2408" s="51"/>
      <c r="E2408" s="51"/>
      <c r="F2408" s="51"/>
      <c r="G2408" s="51"/>
      <c r="H2408" s="51"/>
      <c r="I2408" s="51"/>
      <c r="J2408" s="51"/>
      <c r="K2408" s="51"/>
      <c r="L2408" s="40">
        <v>1</v>
      </c>
      <c r="M2408" s="40" t="s">
        <v>556</v>
      </c>
      <c r="N2408" s="40" t="s">
        <v>556</v>
      </c>
      <c r="O2408" s="40" t="s">
        <v>556</v>
      </c>
      <c r="P2408" s="40" t="s">
        <v>556</v>
      </c>
      <c r="Q2408" s="33">
        <v>1</v>
      </c>
      <c r="R2408" s="28">
        <v>1</v>
      </c>
      <c r="S2408" s="28">
        <v>1</v>
      </c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</row>
    <row r="2409" spans="1:48" s="27" customFormat="1" ht="18" customHeight="1">
      <c r="A2409" s="12"/>
      <c r="B2409" s="106" t="s">
        <v>40</v>
      </c>
      <c r="C2409" s="66" t="s">
        <v>39</v>
      </c>
      <c r="D2409" s="51"/>
      <c r="E2409" s="51"/>
      <c r="F2409" s="51"/>
      <c r="G2409" s="51"/>
      <c r="H2409" s="51"/>
      <c r="I2409" s="51"/>
      <c r="J2409" s="51"/>
      <c r="K2409" s="51"/>
      <c r="L2409" s="40">
        <v>1</v>
      </c>
      <c r="M2409" s="40" t="s">
        <v>556</v>
      </c>
      <c r="N2409" s="40" t="s">
        <v>556</v>
      </c>
      <c r="O2409" s="40" t="s">
        <v>556</v>
      </c>
      <c r="P2409" s="40">
        <v>1</v>
      </c>
      <c r="Q2409" s="30"/>
      <c r="R2409" s="30"/>
      <c r="S2409" s="30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</row>
    <row r="2410" spans="1:48" s="27" customFormat="1" ht="18" customHeight="1">
      <c r="A2410" s="12"/>
      <c r="B2410" s="117" t="s">
        <v>114</v>
      </c>
      <c r="C2410" s="64" t="s">
        <v>113</v>
      </c>
      <c r="D2410" s="51"/>
      <c r="E2410" s="51"/>
      <c r="F2410" s="51"/>
      <c r="G2410" s="51"/>
      <c r="H2410" s="51"/>
      <c r="I2410" s="51"/>
      <c r="J2410" s="51"/>
      <c r="K2410" s="51"/>
      <c r="L2410" s="40" t="s">
        <v>556</v>
      </c>
      <c r="M2410" s="40">
        <v>1</v>
      </c>
      <c r="N2410" s="40" t="s">
        <v>556</v>
      </c>
      <c r="O2410" s="40" t="s">
        <v>556</v>
      </c>
      <c r="P2410" s="40" t="s">
        <v>556</v>
      </c>
      <c r="Q2410" s="30"/>
      <c r="R2410" s="30"/>
      <c r="S2410" s="30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</row>
    <row r="2411" spans="1:19" ht="13.5" customHeight="1">
      <c r="A2411" s="400" t="s">
        <v>909</v>
      </c>
      <c r="B2411" s="400"/>
      <c r="C2411" s="400"/>
      <c r="D2411" s="400"/>
      <c r="E2411" s="400"/>
      <c r="F2411" s="400"/>
      <c r="G2411" s="400"/>
      <c r="H2411" s="400"/>
      <c r="I2411" s="400"/>
      <c r="J2411" s="400"/>
      <c r="K2411" s="400"/>
      <c r="L2411" s="400"/>
      <c r="M2411" s="400"/>
      <c r="N2411" s="400"/>
      <c r="O2411" s="400"/>
      <c r="P2411" s="400"/>
      <c r="Q2411" s="21"/>
      <c r="R2411" s="21"/>
      <c r="S2411" s="8"/>
    </row>
    <row r="2412" spans="1:188" s="57" customFormat="1" ht="17.25" customHeight="1">
      <c r="A2412" s="13">
        <v>44</v>
      </c>
      <c r="B2412" s="108" t="s">
        <v>461</v>
      </c>
      <c r="C2412" s="45"/>
      <c r="D2412" s="44">
        <v>9</v>
      </c>
      <c r="E2412" s="44">
        <v>1</v>
      </c>
      <c r="F2412" s="44"/>
      <c r="G2412" s="44">
        <v>9</v>
      </c>
      <c r="H2412" s="44">
        <v>9</v>
      </c>
      <c r="I2412" s="44">
        <v>10</v>
      </c>
      <c r="J2412" s="44">
        <v>10</v>
      </c>
      <c r="K2412" s="44">
        <v>10</v>
      </c>
      <c r="L2412" s="44" t="str">
        <f>L2415</f>
        <v> -</v>
      </c>
      <c r="M2412" s="44">
        <f>M2415</f>
        <v>1</v>
      </c>
      <c r="N2412" s="44" t="str">
        <f>N2415</f>
        <v> -</v>
      </c>
      <c r="O2412" s="44" t="str">
        <f>O2415</f>
        <v> -</v>
      </c>
      <c r="P2412" s="44">
        <v>1</v>
      </c>
      <c r="Q2412" s="54" t="s">
        <v>648</v>
      </c>
      <c r="R2412" s="54">
        <v>13</v>
      </c>
      <c r="S2412" s="55" t="s">
        <v>572</v>
      </c>
      <c r="T2412" s="56"/>
      <c r="U2412" s="56"/>
      <c r="V2412" s="56"/>
      <c r="W2412" s="56"/>
      <c r="X2412" s="56"/>
      <c r="Y2412" s="56"/>
      <c r="Z2412" s="56"/>
      <c r="AA2412" s="56"/>
      <c r="AB2412" s="56"/>
      <c r="AC2412" s="56"/>
      <c r="AD2412" s="56"/>
      <c r="AE2412" s="56"/>
      <c r="AF2412" s="56"/>
      <c r="AG2412" s="56"/>
      <c r="AH2412" s="56"/>
      <c r="AI2412" s="56"/>
      <c r="AJ2412" s="56"/>
      <c r="AK2412" s="56"/>
      <c r="AL2412" s="56"/>
      <c r="AM2412" s="56"/>
      <c r="AN2412" s="56"/>
      <c r="AO2412" s="56"/>
      <c r="AP2412" s="56"/>
      <c r="AQ2412" s="56"/>
      <c r="AR2412" s="56"/>
      <c r="AS2412" s="56"/>
      <c r="AT2412" s="56"/>
      <c r="AU2412" s="56"/>
      <c r="AV2412" s="56"/>
      <c r="AW2412" s="56"/>
      <c r="AX2412" s="56"/>
      <c r="AY2412" s="56"/>
      <c r="AZ2412" s="56"/>
      <c r="BA2412" s="56"/>
      <c r="BB2412" s="56"/>
      <c r="BC2412" s="56"/>
      <c r="BD2412" s="56"/>
      <c r="BE2412" s="56"/>
      <c r="BF2412" s="56"/>
      <c r="BG2412" s="56"/>
      <c r="BH2412" s="56"/>
      <c r="BI2412" s="56"/>
      <c r="BJ2412" s="56"/>
      <c r="BK2412" s="56"/>
      <c r="BL2412" s="56"/>
      <c r="BM2412" s="56"/>
      <c r="BN2412" s="56"/>
      <c r="BO2412" s="56"/>
      <c r="BP2412" s="56"/>
      <c r="BQ2412" s="56"/>
      <c r="BR2412" s="56"/>
      <c r="BS2412" s="56"/>
      <c r="BT2412" s="56"/>
      <c r="BU2412" s="56"/>
      <c r="BV2412" s="56"/>
      <c r="BW2412" s="56"/>
      <c r="BX2412" s="56"/>
      <c r="BY2412" s="56"/>
      <c r="BZ2412" s="56"/>
      <c r="CA2412" s="56"/>
      <c r="CB2412" s="56"/>
      <c r="CC2412" s="56"/>
      <c r="CD2412" s="56"/>
      <c r="CE2412" s="56"/>
      <c r="CF2412" s="56"/>
      <c r="CG2412" s="56"/>
      <c r="CH2412" s="56"/>
      <c r="CI2412" s="56"/>
      <c r="CJ2412" s="56"/>
      <c r="CK2412" s="56"/>
      <c r="CL2412" s="56"/>
      <c r="CM2412" s="56"/>
      <c r="CN2412" s="56"/>
      <c r="CO2412" s="56"/>
      <c r="CP2412" s="56"/>
      <c r="CQ2412" s="56"/>
      <c r="CR2412" s="56"/>
      <c r="CS2412" s="56"/>
      <c r="CT2412" s="56"/>
      <c r="CU2412" s="56"/>
      <c r="CV2412" s="56"/>
      <c r="CW2412" s="56"/>
      <c r="CX2412" s="56"/>
      <c r="CY2412" s="56"/>
      <c r="CZ2412" s="56"/>
      <c r="DA2412" s="56"/>
      <c r="DB2412" s="56"/>
      <c r="DC2412" s="56"/>
      <c r="DD2412" s="56"/>
      <c r="DE2412" s="56"/>
      <c r="DF2412" s="56"/>
      <c r="DG2412" s="56"/>
      <c r="DH2412" s="56"/>
      <c r="DI2412" s="56"/>
      <c r="DJ2412" s="56"/>
      <c r="DK2412" s="56"/>
      <c r="DL2412" s="56"/>
      <c r="DM2412" s="56"/>
      <c r="DN2412" s="56"/>
      <c r="DO2412" s="56"/>
      <c r="DP2412" s="56"/>
      <c r="DQ2412" s="56"/>
      <c r="DR2412" s="56"/>
      <c r="DS2412" s="56"/>
      <c r="DT2412" s="56"/>
      <c r="DU2412" s="56"/>
      <c r="DV2412" s="56"/>
      <c r="DW2412" s="56"/>
      <c r="DX2412" s="56"/>
      <c r="DY2412" s="56"/>
      <c r="DZ2412" s="56"/>
      <c r="EA2412" s="56"/>
      <c r="EB2412" s="56"/>
      <c r="EC2412" s="56"/>
      <c r="ED2412" s="56"/>
      <c r="EE2412" s="56"/>
      <c r="EF2412" s="56"/>
      <c r="EG2412" s="56"/>
      <c r="EH2412" s="56"/>
      <c r="EI2412" s="56"/>
      <c r="EJ2412" s="56"/>
      <c r="EK2412" s="56"/>
      <c r="EL2412" s="56"/>
      <c r="EM2412" s="56"/>
      <c r="EN2412" s="56"/>
      <c r="EO2412" s="56"/>
      <c r="EP2412" s="56"/>
      <c r="EQ2412" s="56"/>
      <c r="ER2412" s="56"/>
      <c r="ES2412" s="56"/>
      <c r="ET2412" s="56"/>
      <c r="EU2412" s="56"/>
      <c r="EV2412" s="56"/>
      <c r="EW2412" s="56"/>
      <c r="EX2412" s="56"/>
      <c r="EY2412" s="56"/>
      <c r="EZ2412" s="56"/>
      <c r="FA2412" s="56"/>
      <c r="FB2412" s="56"/>
      <c r="FC2412" s="56"/>
      <c r="FD2412" s="56"/>
      <c r="FE2412" s="56"/>
      <c r="FF2412" s="56"/>
      <c r="FG2412" s="56"/>
      <c r="FH2412" s="56"/>
      <c r="FI2412" s="56"/>
      <c r="FJ2412" s="56"/>
      <c r="FK2412" s="56"/>
      <c r="FL2412" s="56"/>
      <c r="FM2412" s="56"/>
      <c r="FN2412" s="56"/>
      <c r="FO2412" s="56"/>
      <c r="FP2412" s="56"/>
      <c r="FQ2412" s="56"/>
      <c r="FR2412" s="56"/>
      <c r="FS2412" s="56"/>
      <c r="FT2412" s="56"/>
      <c r="FU2412" s="56"/>
      <c r="FV2412" s="56"/>
      <c r="FW2412" s="56"/>
      <c r="FX2412" s="56"/>
      <c r="FY2412" s="56"/>
      <c r="FZ2412" s="56"/>
      <c r="GA2412" s="56"/>
      <c r="GB2412" s="56"/>
      <c r="GC2412" s="56"/>
      <c r="GD2412" s="56"/>
      <c r="GE2412" s="56"/>
      <c r="GF2412" s="56"/>
    </row>
    <row r="2413" spans="1:48" s="18" customFormat="1" ht="17.25" customHeight="1">
      <c r="A2413" s="50"/>
      <c r="B2413" s="93" t="s">
        <v>669</v>
      </c>
      <c r="C2413" s="16"/>
      <c r="D2413" s="52"/>
      <c r="E2413" s="52"/>
      <c r="F2413" s="52"/>
      <c r="G2413" s="52"/>
      <c r="H2413" s="52"/>
      <c r="I2413" s="52"/>
      <c r="J2413" s="52"/>
      <c r="K2413" s="52"/>
      <c r="L2413" s="60" t="str">
        <f>L2414</f>
        <v> -</v>
      </c>
      <c r="M2413" s="60" t="str">
        <f>M2414</f>
        <v> -</v>
      </c>
      <c r="N2413" s="60" t="str">
        <f>N2414</f>
        <v> -</v>
      </c>
      <c r="O2413" s="60" t="str">
        <f>O2414</f>
        <v> -</v>
      </c>
      <c r="P2413" s="60">
        <f>P2414</f>
        <v>1</v>
      </c>
      <c r="Q2413" s="23"/>
      <c r="R2413" s="23"/>
      <c r="S2413" s="17"/>
      <c r="T2413" s="47"/>
      <c r="U2413" s="47"/>
      <c r="V2413" s="47"/>
      <c r="W2413" s="47"/>
      <c r="X2413" s="47"/>
      <c r="Y2413" s="47"/>
      <c r="Z2413" s="47"/>
      <c r="AA2413" s="47"/>
      <c r="AB2413" s="47"/>
      <c r="AC2413" s="47"/>
      <c r="AD2413" s="47"/>
      <c r="AE2413" s="47"/>
      <c r="AF2413" s="47"/>
      <c r="AG2413" s="47"/>
      <c r="AH2413" s="47"/>
      <c r="AI2413" s="47"/>
      <c r="AJ2413" s="47"/>
      <c r="AK2413" s="47"/>
      <c r="AL2413" s="47"/>
      <c r="AM2413" s="47"/>
      <c r="AN2413" s="47"/>
      <c r="AO2413" s="47"/>
      <c r="AP2413" s="47"/>
      <c r="AQ2413" s="47"/>
      <c r="AR2413" s="47"/>
      <c r="AS2413" s="47"/>
      <c r="AT2413" s="47"/>
      <c r="AU2413" s="47"/>
      <c r="AV2413" s="47"/>
    </row>
    <row r="2414" spans="1:48" s="27" customFormat="1" ht="17.25" customHeight="1">
      <c r="A2414" s="12"/>
      <c r="B2414" s="105" t="s">
        <v>790</v>
      </c>
      <c r="C2414" s="15" t="s">
        <v>791</v>
      </c>
      <c r="D2414" s="51"/>
      <c r="E2414" s="51"/>
      <c r="F2414" s="51"/>
      <c r="G2414" s="51">
        <v>1</v>
      </c>
      <c r="H2414" s="51">
        <v>1</v>
      </c>
      <c r="I2414" s="51">
        <v>1</v>
      </c>
      <c r="J2414" s="51">
        <v>1</v>
      </c>
      <c r="K2414" s="51">
        <v>1</v>
      </c>
      <c r="L2414" s="40" t="s">
        <v>556</v>
      </c>
      <c r="M2414" s="40" t="s">
        <v>556</v>
      </c>
      <c r="N2414" s="40" t="s">
        <v>556</v>
      </c>
      <c r="O2414" s="40" t="s">
        <v>556</v>
      </c>
      <c r="P2414" s="40">
        <v>1</v>
      </c>
      <c r="Q2414" s="30"/>
      <c r="R2414" s="30"/>
      <c r="S2414" s="30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</row>
    <row r="2415" spans="1:48" s="18" customFormat="1" ht="17.25" customHeight="1">
      <c r="A2415" s="50"/>
      <c r="B2415" s="93" t="s">
        <v>670</v>
      </c>
      <c r="C2415" s="16"/>
      <c r="D2415" s="52"/>
      <c r="E2415" s="52"/>
      <c r="F2415" s="52"/>
      <c r="G2415" s="52"/>
      <c r="H2415" s="52"/>
      <c r="I2415" s="52"/>
      <c r="J2415" s="52"/>
      <c r="K2415" s="52"/>
      <c r="L2415" s="60" t="str">
        <f>L2416</f>
        <v> -</v>
      </c>
      <c r="M2415" s="60">
        <f>M2416</f>
        <v>1</v>
      </c>
      <c r="N2415" s="60" t="s">
        <v>556</v>
      </c>
      <c r="O2415" s="60" t="str">
        <f>O2416</f>
        <v> -</v>
      </c>
      <c r="P2415" s="60" t="str">
        <f>P2416</f>
        <v> -</v>
      </c>
      <c r="Q2415" s="23"/>
      <c r="R2415" s="23"/>
      <c r="S2415" s="17"/>
      <c r="T2415" s="47"/>
      <c r="U2415" s="47"/>
      <c r="V2415" s="47"/>
      <c r="W2415" s="47"/>
      <c r="X2415" s="47"/>
      <c r="Y2415" s="47"/>
      <c r="Z2415" s="47"/>
      <c r="AA2415" s="47"/>
      <c r="AB2415" s="47"/>
      <c r="AC2415" s="47"/>
      <c r="AD2415" s="47"/>
      <c r="AE2415" s="47"/>
      <c r="AF2415" s="47"/>
      <c r="AG2415" s="47"/>
      <c r="AH2415" s="47"/>
      <c r="AI2415" s="47"/>
      <c r="AJ2415" s="47"/>
      <c r="AK2415" s="47"/>
      <c r="AL2415" s="47"/>
      <c r="AM2415" s="47"/>
      <c r="AN2415" s="47"/>
      <c r="AO2415" s="47"/>
      <c r="AP2415" s="47"/>
      <c r="AQ2415" s="47"/>
      <c r="AR2415" s="47"/>
      <c r="AS2415" s="47"/>
      <c r="AT2415" s="47"/>
      <c r="AU2415" s="47"/>
      <c r="AV2415" s="47"/>
    </row>
    <row r="2416" spans="1:48" s="27" customFormat="1" ht="17.25" customHeight="1">
      <c r="A2416" s="12"/>
      <c r="B2416" s="105" t="s">
        <v>570</v>
      </c>
      <c r="C2416" s="15" t="s">
        <v>571</v>
      </c>
      <c r="D2416" s="51"/>
      <c r="E2416" s="51"/>
      <c r="F2416" s="51"/>
      <c r="G2416" s="51">
        <v>1</v>
      </c>
      <c r="H2416" s="51">
        <v>1</v>
      </c>
      <c r="I2416" s="51">
        <v>2</v>
      </c>
      <c r="J2416" s="51">
        <v>2</v>
      </c>
      <c r="K2416" s="51">
        <v>2</v>
      </c>
      <c r="L2416" s="40" t="s">
        <v>556</v>
      </c>
      <c r="M2416" s="40">
        <v>1</v>
      </c>
      <c r="N2416" s="40" t="s">
        <v>556</v>
      </c>
      <c r="O2416" s="40" t="s">
        <v>556</v>
      </c>
      <c r="P2416" s="40" t="s">
        <v>556</v>
      </c>
      <c r="Q2416" s="33">
        <v>1</v>
      </c>
      <c r="R2416" s="28">
        <v>1</v>
      </c>
      <c r="S2416" s="28">
        <v>1</v>
      </c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</row>
    <row r="2417" spans="1:188" s="57" customFormat="1" ht="17.25" customHeight="1">
      <c r="A2417" s="13">
        <v>45</v>
      </c>
      <c r="B2417" s="108" t="s">
        <v>463</v>
      </c>
      <c r="C2417" s="45"/>
      <c r="D2417" s="44">
        <v>19</v>
      </c>
      <c r="E2417" s="44">
        <v>2</v>
      </c>
      <c r="F2417" s="44"/>
      <c r="G2417" s="44">
        <v>21</v>
      </c>
      <c r="H2417" s="44">
        <v>22</v>
      </c>
      <c r="I2417" s="44">
        <v>22</v>
      </c>
      <c r="J2417" s="44">
        <v>23</v>
      </c>
      <c r="K2417" s="44">
        <v>23</v>
      </c>
      <c r="L2417" s="44">
        <f>SUM(L2418,L2423)</f>
        <v>1</v>
      </c>
      <c r="M2417" s="44">
        <f>SUM(M2418,M2423)</f>
        <v>2</v>
      </c>
      <c r="N2417" s="44">
        <f>SUM(N2418,N2423)</f>
        <v>2</v>
      </c>
      <c r="O2417" s="44">
        <f>SUM(O2418,O2423)</f>
        <v>3</v>
      </c>
      <c r="P2417" s="44">
        <f>SUM(P2418,P2423)</f>
        <v>2</v>
      </c>
      <c r="Q2417" s="54" t="s">
        <v>648</v>
      </c>
      <c r="R2417" s="54">
        <v>13</v>
      </c>
      <c r="S2417" s="55" t="s">
        <v>572</v>
      </c>
      <c r="T2417" s="56"/>
      <c r="U2417" s="56"/>
      <c r="V2417" s="56"/>
      <c r="W2417" s="56"/>
      <c r="X2417" s="56"/>
      <c r="Y2417" s="56"/>
      <c r="Z2417" s="56"/>
      <c r="AA2417" s="56"/>
      <c r="AB2417" s="56"/>
      <c r="AC2417" s="56"/>
      <c r="AD2417" s="56"/>
      <c r="AE2417" s="56"/>
      <c r="AF2417" s="56"/>
      <c r="AG2417" s="56"/>
      <c r="AH2417" s="56"/>
      <c r="AI2417" s="56"/>
      <c r="AJ2417" s="56"/>
      <c r="AK2417" s="56"/>
      <c r="AL2417" s="56"/>
      <c r="AM2417" s="56"/>
      <c r="AN2417" s="56"/>
      <c r="AO2417" s="56"/>
      <c r="AP2417" s="56"/>
      <c r="AQ2417" s="56"/>
      <c r="AR2417" s="56"/>
      <c r="AS2417" s="56"/>
      <c r="AT2417" s="56"/>
      <c r="AU2417" s="56"/>
      <c r="AV2417" s="56"/>
      <c r="AW2417" s="56"/>
      <c r="AX2417" s="56"/>
      <c r="AY2417" s="56"/>
      <c r="AZ2417" s="56"/>
      <c r="BA2417" s="56"/>
      <c r="BB2417" s="56"/>
      <c r="BC2417" s="56"/>
      <c r="BD2417" s="56"/>
      <c r="BE2417" s="56"/>
      <c r="BF2417" s="56"/>
      <c r="BG2417" s="56"/>
      <c r="BH2417" s="56"/>
      <c r="BI2417" s="56"/>
      <c r="BJ2417" s="56"/>
      <c r="BK2417" s="56"/>
      <c r="BL2417" s="56"/>
      <c r="BM2417" s="56"/>
      <c r="BN2417" s="56"/>
      <c r="BO2417" s="56"/>
      <c r="BP2417" s="56"/>
      <c r="BQ2417" s="56"/>
      <c r="BR2417" s="56"/>
      <c r="BS2417" s="56"/>
      <c r="BT2417" s="56"/>
      <c r="BU2417" s="56"/>
      <c r="BV2417" s="56"/>
      <c r="BW2417" s="56"/>
      <c r="BX2417" s="56"/>
      <c r="BY2417" s="56"/>
      <c r="BZ2417" s="56"/>
      <c r="CA2417" s="56"/>
      <c r="CB2417" s="56"/>
      <c r="CC2417" s="56"/>
      <c r="CD2417" s="56"/>
      <c r="CE2417" s="56"/>
      <c r="CF2417" s="56"/>
      <c r="CG2417" s="56"/>
      <c r="CH2417" s="56"/>
      <c r="CI2417" s="56"/>
      <c r="CJ2417" s="56"/>
      <c r="CK2417" s="56"/>
      <c r="CL2417" s="56"/>
      <c r="CM2417" s="56"/>
      <c r="CN2417" s="56"/>
      <c r="CO2417" s="56"/>
      <c r="CP2417" s="56"/>
      <c r="CQ2417" s="56"/>
      <c r="CR2417" s="56"/>
      <c r="CS2417" s="56"/>
      <c r="CT2417" s="56"/>
      <c r="CU2417" s="56"/>
      <c r="CV2417" s="56"/>
      <c r="CW2417" s="56"/>
      <c r="CX2417" s="56"/>
      <c r="CY2417" s="56"/>
      <c r="CZ2417" s="56"/>
      <c r="DA2417" s="56"/>
      <c r="DB2417" s="56"/>
      <c r="DC2417" s="56"/>
      <c r="DD2417" s="56"/>
      <c r="DE2417" s="56"/>
      <c r="DF2417" s="56"/>
      <c r="DG2417" s="56"/>
      <c r="DH2417" s="56"/>
      <c r="DI2417" s="56"/>
      <c r="DJ2417" s="56"/>
      <c r="DK2417" s="56"/>
      <c r="DL2417" s="56"/>
      <c r="DM2417" s="56"/>
      <c r="DN2417" s="56"/>
      <c r="DO2417" s="56"/>
      <c r="DP2417" s="56"/>
      <c r="DQ2417" s="56"/>
      <c r="DR2417" s="56"/>
      <c r="DS2417" s="56"/>
      <c r="DT2417" s="56"/>
      <c r="DU2417" s="56"/>
      <c r="DV2417" s="56"/>
      <c r="DW2417" s="56"/>
      <c r="DX2417" s="56"/>
      <c r="DY2417" s="56"/>
      <c r="DZ2417" s="56"/>
      <c r="EA2417" s="56"/>
      <c r="EB2417" s="56"/>
      <c r="EC2417" s="56"/>
      <c r="ED2417" s="56"/>
      <c r="EE2417" s="56"/>
      <c r="EF2417" s="56"/>
      <c r="EG2417" s="56"/>
      <c r="EH2417" s="56"/>
      <c r="EI2417" s="56"/>
      <c r="EJ2417" s="56"/>
      <c r="EK2417" s="56"/>
      <c r="EL2417" s="56"/>
      <c r="EM2417" s="56"/>
      <c r="EN2417" s="56"/>
      <c r="EO2417" s="56"/>
      <c r="EP2417" s="56"/>
      <c r="EQ2417" s="56"/>
      <c r="ER2417" s="56"/>
      <c r="ES2417" s="56"/>
      <c r="ET2417" s="56"/>
      <c r="EU2417" s="56"/>
      <c r="EV2417" s="56"/>
      <c r="EW2417" s="56"/>
      <c r="EX2417" s="56"/>
      <c r="EY2417" s="56"/>
      <c r="EZ2417" s="56"/>
      <c r="FA2417" s="56"/>
      <c r="FB2417" s="56"/>
      <c r="FC2417" s="56"/>
      <c r="FD2417" s="56"/>
      <c r="FE2417" s="56"/>
      <c r="FF2417" s="56"/>
      <c r="FG2417" s="56"/>
      <c r="FH2417" s="56"/>
      <c r="FI2417" s="56"/>
      <c r="FJ2417" s="56"/>
      <c r="FK2417" s="56"/>
      <c r="FL2417" s="56"/>
      <c r="FM2417" s="56"/>
      <c r="FN2417" s="56"/>
      <c r="FO2417" s="56"/>
      <c r="FP2417" s="56"/>
      <c r="FQ2417" s="56"/>
      <c r="FR2417" s="56"/>
      <c r="FS2417" s="56"/>
      <c r="FT2417" s="56"/>
      <c r="FU2417" s="56"/>
      <c r="FV2417" s="56"/>
      <c r="FW2417" s="56"/>
      <c r="FX2417" s="56"/>
      <c r="FY2417" s="56"/>
      <c r="FZ2417" s="56"/>
      <c r="GA2417" s="56"/>
      <c r="GB2417" s="56"/>
      <c r="GC2417" s="56"/>
      <c r="GD2417" s="56"/>
      <c r="GE2417" s="56"/>
      <c r="GF2417" s="56"/>
    </row>
    <row r="2418" spans="1:48" s="18" customFormat="1" ht="17.25" customHeight="1">
      <c r="A2418" s="50"/>
      <c r="B2418" s="93" t="s">
        <v>669</v>
      </c>
      <c r="C2418" s="16"/>
      <c r="D2418" s="52"/>
      <c r="E2418" s="52"/>
      <c r="F2418" s="52"/>
      <c r="G2418" s="52"/>
      <c r="H2418" s="52"/>
      <c r="I2418" s="52"/>
      <c r="J2418" s="52"/>
      <c r="K2418" s="52"/>
      <c r="L2418" s="60">
        <f>SUM(L2419:L2422)</f>
        <v>1</v>
      </c>
      <c r="M2418" s="60">
        <f>SUM(M2419:M2422)</f>
        <v>2</v>
      </c>
      <c r="N2418" s="60">
        <f>SUM(N2419:N2422)</f>
        <v>1</v>
      </c>
      <c r="O2418" s="60">
        <f>SUM(O2419:O2422)</f>
        <v>1</v>
      </c>
      <c r="P2418" s="60">
        <f>SUM(P2419:P2422)</f>
        <v>2</v>
      </c>
      <c r="Q2418" s="23"/>
      <c r="R2418" s="23"/>
      <c r="S2418" s="17"/>
      <c r="T2418" s="47"/>
      <c r="U2418" s="47"/>
      <c r="V2418" s="47"/>
      <c r="W2418" s="47"/>
      <c r="X2418" s="47"/>
      <c r="Y2418" s="47"/>
      <c r="Z2418" s="47"/>
      <c r="AA2418" s="47"/>
      <c r="AB2418" s="47"/>
      <c r="AC2418" s="47"/>
      <c r="AD2418" s="47"/>
      <c r="AE2418" s="47"/>
      <c r="AF2418" s="47"/>
      <c r="AG2418" s="47"/>
      <c r="AH2418" s="47"/>
      <c r="AI2418" s="47"/>
      <c r="AJ2418" s="47"/>
      <c r="AK2418" s="47"/>
      <c r="AL2418" s="47"/>
      <c r="AM2418" s="47"/>
      <c r="AN2418" s="47"/>
      <c r="AO2418" s="47"/>
      <c r="AP2418" s="47"/>
      <c r="AQ2418" s="47"/>
      <c r="AR2418" s="47"/>
      <c r="AS2418" s="47"/>
      <c r="AT2418" s="47"/>
      <c r="AU2418" s="47"/>
      <c r="AV2418" s="47"/>
    </row>
    <row r="2419" spans="1:48" s="27" customFormat="1" ht="17.25" customHeight="1">
      <c r="A2419" s="12"/>
      <c r="B2419" s="105" t="s">
        <v>464</v>
      </c>
      <c r="C2419" s="15" t="s">
        <v>465</v>
      </c>
      <c r="D2419" s="51"/>
      <c r="E2419" s="51"/>
      <c r="F2419" s="51"/>
      <c r="G2419" s="51">
        <v>1</v>
      </c>
      <c r="H2419" s="51">
        <v>1</v>
      </c>
      <c r="I2419" s="51">
        <v>1</v>
      </c>
      <c r="J2419" s="51">
        <v>1</v>
      </c>
      <c r="K2419" s="51">
        <v>1</v>
      </c>
      <c r="L2419" s="40" t="s">
        <v>556</v>
      </c>
      <c r="M2419" s="40" t="s">
        <v>556</v>
      </c>
      <c r="N2419" s="40" t="s">
        <v>556</v>
      </c>
      <c r="O2419" s="40" t="s">
        <v>556</v>
      </c>
      <c r="P2419" s="40">
        <v>1</v>
      </c>
      <c r="Q2419" s="30"/>
      <c r="R2419" s="30"/>
      <c r="S2419" s="30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</row>
    <row r="2420" spans="1:48" s="27" customFormat="1" ht="17.25" customHeight="1">
      <c r="A2420" s="12"/>
      <c r="B2420" s="97" t="s">
        <v>558</v>
      </c>
      <c r="C2420" s="29" t="s">
        <v>452</v>
      </c>
      <c r="D2420" s="51"/>
      <c r="E2420" s="51"/>
      <c r="F2420" s="51"/>
      <c r="G2420" s="51">
        <v>4</v>
      </c>
      <c r="H2420" s="51">
        <v>4</v>
      </c>
      <c r="I2420" s="51">
        <v>4</v>
      </c>
      <c r="J2420" s="51">
        <v>4</v>
      </c>
      <c r="K2420" s="51">
        <v>4</v>
      </c>
      <c r="L2420" s="40" t="s">
        <v>556</v>
      </c>
      <c r="M2420" s="40">
        <v>1</v>
      </c>
      <c r="N2420" s="40">
        <v>1</v>
      </c>
      <c r="O2420" s="40" t="s">
        <v>556</v>
      </c>
      <c r="P2420" s="40" t="s">
        <v>556</v>
      </c>
      <c r="Q2420" s="30"/>
      <c r="R2420" s="30"/>
      <c r="S2420" s="30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</row>
    <row r="2421" spans="1:48" s="27" customFormat="1" ht="17.25" customHeight="1">
      <c r="A2421" s="12"/>
      <c r="B2421" s="97" t="s">
        <v>555</v>
      </c>
      <c r="C2421" s="29" t="s">
        <v>445</v>
      </c>
      <c r="D2421" s="51"/>
      <c r="E2421" s="51"/>
      <c r="F2421" s="51"/>
      <c r="G2421" s="51">
        <v>4</v>
      </c>
      <c r="H2421" s="51">
        <v>4</v>
      </c>
      <c r="I2421" s="51">
        <v>4</v>
      </c>
      <c r="J2421" s="51">
        <v>4</v>
      </c>
      <c r="K2421" s="51">
        <v>4</v>
      </c>
      <c r="L2421" s="40">
        <v>1</v>
      </c>
      <c r="M2421" s="40" t="s">
        <v>556</v>
      </c>
      <c r="N2421" s="40" t="s">
        <v>556</v>
      </c>
      <c r="O2421" s="40">
        <v>1</v>
      </c>
      <c r="P2421" s="40" t="s">
        <v>556</v>
      </c>
      <c r="Q2421" s="30"/>
      <c r="R2421" s="30"/>
      <c r="S2421" s="30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</row>
    <row r="2422" spans="1:48" s="27" customFormat="1" ht="17.25" customHeight="1">
      <c r="A2422" s="12"/>
      <c r="B2422" s="111" t="s">
        <v>559</v>
      </c>
      <c r="C2422" s="15">
        <v>37020339</v>
      </c>
      <c r="D2422" s="51"/>
      <c r="E2422" s="51"/>
      <c r="F2422" s="51"/>
      <c r="G2422" s="51">
        <v>2</v>
      </c>
      <c r="H2422" s="51">
        <v>2</v>
      </c>
      <c r="I2422" s="51">
        <v>2</v>
      </c>
      <c r="J2422" s="51">
        <v>2</v>
      </c>
      <c r="K2422" s="51">
        <v>2</v>
      </c>
      <c r="L2422" s="40" t="s">
        <v>556</v>
      </c>
      <c r="M2422" s="40">
        <v>1</v>
      </c>
      <c r="N2422" s="40" t="s">
        <v>556</v>
      </c>
      <c r="O2422" s="40" t="s">
        <v>556</v>
      </c>
      <c r="P2422" s="40">
        <v>1</v>
      </c>
      <c r="Q2422" s="30"/>
      <c r="R2422" s="30"/>
      <c r="S2422" s="30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</row>
    <row r="2423" spans="1:48" s="18" customFormat="1" ht="17.25" customHeight="1">
      <c r="A2423" s="50"/>
      <c r="B2423" s="93" t="s">
        <v>670</v>
      </c>
      <c r="C2423" s="16"/>
      <c r="D2423" s="52"/>
      <c r="E2423" s="52"/>
      <c r="F2423" s="52"/>
      <c r="G2423" s="52"/>
      <c r="H2423" s="52"/>
      <c r="I2423" s="52"/>
      <c r="J2423" s="52"/>
      <c r="K2423" s="52"/>
      <c r="L2423" s="60" t="str">
        <f>L2424</f>
        <v> -</v>
      </c>
      <c r="M2423" s="60" t="str">
        <f>M2424</f>
        <v> -</v>
      </c>
      <c r="N2423" s="60">
        <v>1</v>
      </c>
      <c r="O2423" s="60">
        <v>2</v>
      </c>
      <c r="P2423" s="60" t="str">
        <f>P2424</f>
        <v> -</v>
      </c>
      <c r="Q2423" s="23"/>
      <c r="R2423" s="23"/>
      <c r="S2423" s="17"/>
      <c r="T2423" s="47"/>
      <c r="U2423" s="47"/>
      <c r="V2423" s="47"/>
      <c r="W2423" s="47"/>
      <c r="X2423" s="47"/>
      <c r="Y2423" s="47"/>
      <c r="Z2423" s="47"/>
      <c r="AA2423" s="47"/>
      <c r="AB2423" s="47"/>
      <c r="AC2423" s="47"/>
      <c r="AD2423" s="47"/>
      <c r="AE2423" s="47"/>
      <c r="AF2423" s="47"/>
      <c r="AG2423" s="47"/>
      <c r="AH2423" s="47"/>
      <c r="AI2423" s="47"/>
      <c r="AJ2423" s="47"/>
      <c r="AK2423" s="47"/>
      <c r="AL2423" s="47"/>
      <c r="AM2423" s="47"/>
      <c r="AN2423" s="47"/>
      <c r="AO2423" s="47"/>
      <c r="AP2423" s="47"/>
      <c r="AQ2423" s="47"/>
      <c r="AR2423" s="47"/>
      <c r="AS2423" s="47"/>
      <c r="AT2423" s="47"/>
      <c r="AU2423" s="47"/>
      <c r="AV2423" s="47"/>
    </row>
    <row r="2424" spans="1:48" s="27" customFormat="1" ht="17.25" customHeight="1">
      <c r="A2424" s="12"/>
      <c r="B2424" s="105" t="s">
        <v>570</v>
      </c>
      <c r="C2424" s="15" t="s">
        <v>571</v>
      </c>
      <c r="D2424" s="51"/>
      <c r="E2424" s="51"/>
      <c r="F2424" s="51"/>
      <c r="G2424" s="51">
        <v>2</v>
      </c>
      <c r="H2424" s="51">
        <v>2</v>
      </c>
      <c r="I2424" s="51">
        <v>2</v>
      </c>
      <c r="J2424" s="51">
        <v>2</v>
      </c>
      <c r="K2424" s="51">
        <v>2</v>
      </c>
      <c r="L2424" s="40" t="s">
        <v>556</v>
      </c>
      <c r="M2424" s="40" t="s">
        <v>556</v>
      </c>
      <c r="N2424" s="40">
        <v>1</v>
      </c>
      <c r="O2424" s="40">
        <v>1</v>
      </c>
      <c r="P2424" s="40" t="s">
        <v>556</v>
      </c>
      <c r="Q2424" s="33">
        <v>1</v>
      </c>
      <c r="R2424" s="28">
        <v>1</v>
      </c>
      <c r="S2424" s="28">
        <v>1</v>
      </c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</row>
    <row r="2425" spans="1:48" s="27" customFormat="1" ht="17.25" customHeight="1">
      <c r="A2425" s="12"/>
      <c r="B2425" s="97" t="s">
        <v>566</v>
      </c>
      <c r="C2425" s="15" t="s">
        <v>567</v>
      </c>
      <c r="D2425" s="51"/>
      <c r="E2425" s="51"/>
      <c r="F2425" s="51"/>
      <c r="G2425" s="51">
        <v>1</v>
      </c>
      <c r="H2425" s="51">
        <v>1</v>
      </c>
      <c r="I2425" s="51">
        <v>1</v>
      </c>
      <c r="J2425" s="51">
        <v>1</v>
      </c>
      <c r="K2425" s="51">
        <v>1</v>
      </c>
      <c r="L2425" s="40" t="s">
        <v>556</v>
      </c>
      <c r="M2425" s="40" t="s">
        <v>556</v>
      </c>
      <c r="N2425" s="40" t="s">
        <v>556</v>
      </c>
      <c r="O2425" s="40">
        <v>1</v>
      </c>
      <c r="P2425" s="40" t="s">
        <v>556</v>
      </c>
      <c r="Q2425" s="30"/>
      <c r="R2425" s="30"/>
      <c r="S2425" s="30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</row>
    <row r="2426" spans="1:188" s="57" customFormat="1" ht="17.25" customHeight="1">
      <c r="A2426" s="13">
        <v>46</v>
      </c>
      <c r="B2426" s="108" t="s">
        <v>466</v>
      </c>
      <c r="C2426" s="45"/>
      <c r="D2426" s="44">
        <v>18</v>
      </c>
      <c r="E2426" s="44">
        <v>2</v>
      </c>
      <c r="F2426" s="44"/>
      <c r="G2426" s="44">
        <v>18</v>
      </c>
      <c r="H2426" s="44">
        <v>18</v>
      </c>
      <c r="I2426" s="44">
        <v>19</v>
      </c>
      <c r="J2426" s="44">
        <v>19</v>
      </c>
      <c r="K2426" s="44">
        <v>20</v>
      </c>
      <c r="L2426" s="44">
        <f>SUM(L2427,L2430)</f>
        <v>1</v>
      </c>
      <c r="M2426" s="44">
        <f>SUM(M2427,M2430)</f>
        <v>1</v>
      </c>
      <c r="N2426" s="44">
        <f>SUM(N2427,N2430)</f>
        <v>2</v>
      </c>
      <c r="O2426" s="44">
        <f>SUM(O2427,O2430)</f>
        <v>1</v>
      </c>
      <c r="P2426" s="44">
        <f>SUM(P2427,P2430)</f>
        <v>1</v>
      </c>
      <c r="Q2426" s="54" t="s">
        <v>648</v>
      </c>
      <c r="R2426" s="54">
        <v>13</v>
      </c>
      <c r="S2426" s="55" t="s">
        <v>572</v>
      </c>
      <c r="T2426" s="56"/>
      <c r="U2426" s="56"/>
      <c r="V2426" s="56"/>
      <c r="W2426" s="56"/>
      <c r="X2426" s="56"/>
      <c r="Y2426" s="56"/>
      <c r="Z2426" s="56"/>
      <c r="AA2426" s="56"/>
      <c r="AB2426" s="56"/>
      <c r="AC2426" s="56"/>
      <c r="AD2426" s="56"/>
      <c r="AE2426" s="56"/>
      <c r="AF2426" s="56"/>
      <c r="AG2426" s="56"/>
      <c r="AH2426" s="56"/>
      <c r="AI2426" s="56"/>
      <c r="AJ2426" s="56"/>
      <c r="AK2426" s="56"/>
      <c r="AL2426" s="56"/>
      <c r="AM2426" s="56"/>
      <c r="AN2426" s="56"/>
      <c r="AO2426" s="56"/>
      <c r="AP2426" s="56"/>
      <c r="AQ2426" s="56"/>
      <c r="AR2426" s="56"/>
      <c r="AS2426" s="56"/>
      <c r="AT2426" s="56"/>
      <c r="AU2426" s="56"/>
      <c r="AV2426" s="56"/>
      <c r="AW2426" s="56"/>
      <c r="AX2426" s="56"/>
      <c r="AY2426" s="56"/>
      <c r="AZ2426" s="56"/>
      <c r="BA2426" s="56"/>
      <c r="BB2426" s="56"/>
      <c r="BC2426" s="56"/>
      <c r="BD2426" s="56"/>
      <c r="BE2426" s="56"/>
      <c r="BF2426" s="56"/>
      <c r="BG2426" s="56"/>
      <c r="BH2426" s="56"/>
      <c r="BI2426" s="56"/>
      <c r="BJ2426" s="56"/>
      <c r="BK2426" s="56"/>
      <c r="BL2426" s="56"/>
      <c r="BM2426" s="56"/>
      <c r="BN2426" s="56"/>
      <c r="BO2426" s="56"/>
      <c r="BP2426" s="56"/>
      <c r="BQ2426" s="56"/>
      <c r="BR2426" s="56"/>
      <c r="BS2426" s="56"/>
      <c r="BT2426" s="56"/>
      <c r="BU2426" s="56"/>
      <c r="BV2426" s="56"/>
      <c r="BW2426" s="56"/>
      <c r="BX2426" s="56"/>
      <c r="BY2426" s="56"/>
      <c r="BZ2426" s="56"/>
      <c r="CA2426" s="56"/>
      <c r="CB2426" s="56"/>
      <c r="CC2426" s="56"/>
      <c r="CD2426" s="56"/>
      <c r="CE2426" s="56"/>
      <c r="CF2426" s="56"/>
      <c r="CG2426" s="56"/>
      <c r="CH2426" s="56"/>
      <c r="CI2426" s="56"/>
      <c r="CJ2426" s="56"/>
      <c r="CK2426" s="56"/>
      <c r="CL2426" s="56"/>
      <c r="CM2426" s="56"/>
      <c r="CN2426" s="56"/>
      <c r="CO2426" s="56"/>
      <c r="CP2426" s="56"/>
      <c r="CQ2426" s="56"/>
      <c r="CR2426" s="56"/>
      <c r="CS2426" s="56"/>
      <c r="CT2426" s="56"/>
      <c r="CU2426" s="56"/>
      <c r="CV2426" s="56"/>
      <c r="CW2426" s="56"/>
      <c r="CX2426" s="56"/>
      <c r="CY2426" s="56"/>
      <c r="CZ2426" s="56"/>
      <c r="DA2426" s="56"/>
      <c r="DB2426" s="56"/>
      <c r="DC2426" s="56"/>
      <c r="DD2426" s="56"/>
      <c r="DE2426" s="56"/>
      <c r="DF2426" s="56"/>
      <c r="DG2426" s="56"/>
      <c r="DH2426" s="56"/>
      <c r="DI2426" s="56"/>
      <c r="DJ2426" s="56"/>
      <c r="DK2426" s="56"/>
      <c r="DL2426" s="56"/>
      <c r="DM2426" s="56"/>
      <c r="DN2426" s="56"/>
      <c r="DO2426" s="56"/>
      <c r="DP2426" s="56"/>
      <c r="DQ2426" s="56"/>
      <c r="DR2426" s="56"/>
      <c r="DS2426" s="56"/>
      <c r="DT2426" s="56"/>
      <c r="DU2426" s="56"/>
      <c r="DV2426" s="56"/>
      <c r="DW2426" s="56"/>
      <c r="DX2426" s="56"/>
      <c r="DY2426" s="56"/>
      <c r="DZ2426" s="56"/>
      <c r="EA2426" s="56"/>
      <c r="EB2426" s="56"/>
      <c r="EC2426" s="56"/>
      <c r="ED2426" s="56"/>
      <c r="EE2426" s="56"/>
      <c r="EF2426" s="56"/>
      <c r="EG2426" s="56"/>
      <c r="EH2426" s="56"/>
      <c r="EI2426" s="56"/>
      <c r="EJ2426" s="56"/>
      <c r="EK2426" s="56"/>
      <c r="EL2426" s="56"/>
      <c r="EM2426" s="56"/>
      <c r="EN2426" s="56"/>
      <c r="EO2426" s="56"/>
      <c r="EP2426" s="56"/>
      <c r="EQ2426" s="56"/>
      <c r="ER2426" s="56"/>
      <c r="ES2426" s="56"/>
      <c r="ET2426" s="56"/>
      <c r="EU2426" s="56"/>
      <c r="EV2426" s="56"/>
      <c r="EW2426" s="56"/>
      <c r="EX2426" s="56"/>
      <c r="EY2426" s="56"/>
      <c r="EZ2426" s="56"/>
      <c r="FA2426" s="56"/>
      <c r="FB2426" s="56"/>
      <c r="FC2426" s="56"/>
      <c r="FD2426" s="56"/>
      <c r="FE2426" s="56"/>
      <c r="FF2426" s="56"/>
      <c r="FG2426" s="56"/>
      <c r="FH2426" s="56"/>
      <c r="FI2426" s="56"/>
      <c r="FJ2426" s="56"/>
      <c r="FK2426" s="56"/>
      <c r="FL2426" s="56"/>
      <c r="FM2426" s="56"/>
      <c r="FN2426" s="56"/>
      <c r="FO2426" s="56"/>
      <c r="FP2426" s="56"/>
      <c r="FQ2426" s="56"/>
      <c r="FR2426" s="56"/>
      <c r="FS2426" s="56"/>
      <c r="FT2426" s="56"/>
      <c r="FU2426" s="56"/>
      <c r="FV2426" s="56"/>
      <c r="FW2426" s="56"/>
      <c r="FX2426" s="56"/>
      <c r="FY2426" s="56"/>
      <c r="FZ2426" s="56"/>
      <c r="GA2426" s="56"/>
      <c r="GB2426" s="56"/>
      <c r="GC2426" s="56"/>
      <c r="GD2426" s="56"/>
      <c r="GE2426" s="56"/>
      <c r="GF2426" s="56"/>
    </row>
    <row r="2427" spans="1:48" s="18" customFormat="1" ht="17.25" customHeight="1">
      <c r="A2427" s="50"/>
      <c r="B2427" s="93" t="s">
        <v>669</v>
      </c>
      <c r="C2427" s="16"/>
      <c r="D2427" s="52"/>
      <c r="E2427" s="52"/>
      <c r="F2427" s="52"/>
      <c r="G2427" s="52"/>
      <c r="H2427" s="52"/>
      <c r="I2427" s="52"/>
      <c r="J2427" s="52"/>
      <c r="K2427" s="52"/>
      <c r="L2427" s="60" t="s">
        <v>556</v>
      </c>
      <c r="M2427" s="60">
        <f>SUM(M2428:M2429)</f>
        <v>1</v>
      </c>
      <c r="N2427" s="60">
        <f>SUM(N2428:N2429)</f>
        <v>2</v>
      </c>
      <c r="O2427" s="60">
        <f>SUM(O2428:O2429)</f>
        <v>1</v>
      </c>
      <c r="P2427" s="60">
        <f>SUM(P2428:P2429)</f>
        <v>1</v>
      </c>
      <c r="Q2427" s="23"/>
      <c r="R2427" s="23"/>
      <c r="S2427" s="17"/>
      <c r="T2427" s="47"/>
      <c r="U2427" s="47"/>
      <c r="V2427" s="47"/>
      <c r="W2427" s="47"/>
      <c r="X2427" s="47"/>
      <c r="Y2427" s="47"/>
      <c r="Z2427" s="47"/>
      <c r="AA2427" s="47"/>
      <c r="AB2427" s="47"/>
      <c r="AC2427" s="47"/>
      <c r="AD2427" s="47"/>
      <c r="AE2427" s="47"/>
      <c r="AF2427" s="47"/>
      <c r="AG2427" s="47"/>
      <c r="AH2427" s="47"/>
      <c r="AI2427" s="47"/>
      <c r="AJ2427" s="47"/>
      <c r="AK2427" s="47"/>
      <c r="AL2427" s="47"/>
      <c r="AM2427" s="47"/>
      <c r="AN2427" s="47"/>
      <c r="AO2427" s="47"/>
      <c r="AP2427" s="47"/>
      <c r="AQ2427" s="47"/>
      <c r="AR2427" s="47"/>
      <c r="AS2427" s="47"/>
      <c r="AT2427" s="47"/>
      <c r="AU2427" s="47"/>
      <c r="AV2427" s="47"/>
    </row>
    <row r="2428" spans="1:48" s="27" customFormat="1" ht="17.25" customHeight="1">
      <c r="A2428" s="12"/>
      <c r="B2428" s="105" t="s">
        <v>464</v>
      </c>
      <c r="C2428" s="15" t="s">
        <v>465</v>
      </c>
      <c r="D2428" s="51"/>
      <c r="E2428" s="51"/>
      <c r="F2428" s="51"/>
      <c r="G2428" s="51">
        <v>1</v>
      </c>
      <c r="H2428" s="51">
        <v>1</v>
      </c>
      <c r="I2428" s="51">
        <v>1</v>
      </c>
      <c r="J2428" s="51">
        <v>1</v>
      </c>
      <c r="K2428" s="51">
        <v>1</v>
      </c>
      <c r="L2428" s="40" t="s">
        <v>556</v>
      </c>
      <c r="M2428" s="40" t="s">
        <v>556</v>
      </c>
      <c r="N2428" s="40">
        <v>1</v>
      </c>
      <c r="O2428" s="40" t="s">
        <v>556</v>
      </c>
      <c r="P2428" s="40" t="s">
        <v>556</v>
      </c>
      <c r="Q2428" s="30"/>
      <c r="R2428" s="30"/>
      <c r="S2428" s="30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</row>
    <row r="2429" spans="1:48" s="27" customFormat="1" ht="17.25" customHeight="1">
      <c r="A2429" s="12"/>
      <c r="B2429" s="111" t="s">
        <v>559</v>
      </c>
      <c r="C2429" s="15">
        <v>37020339</v>
      </c>
      <c r="D2429" s="51"/>
      <c r="E2429" s="51"/>
      <c r="F2429" s="51"/>
      <c r="G2429" s="51">
        <v>10</v>
      </c>
      <c r="H2429" s="51">
        <v>10</v>
      </c>
      <c r="I2429" s="51">
        <v>11</v>
      </c>
      <c r="J2429" s="51">
        <v>11</v>
      </c>
      <c r="K2429" s="51">
        <v>12</v>
      </c>
      <c r="L2429" s="40" t="s">
        <v>556</v>
      </c>
      <c r="M2429" s="40">
        <v>1</v>
      </c>
      <c r="N2429" s="40">
        <v>1</v>
      </c>
      <c r="O2429" s="40">
        <v>1</v>
      </c>
      <c r="P2429" s="40">
        <v>1</v>
      </c>
      <c r="Q2429" s="30"/>
      <c r="R2429" s="30"/>
      <c r="S2429" s="30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</row>
    <row r="2430" spans="1:48" s="18" customFormat="1" ht="17.25" customHeight="1">
      <c r="A2430" s="50"/>
      <c r="B2430" s="93" t="s">
        <v>670</v>
      </c>
      <c r="C2430" s="16"/>
      <c r="D2430" s="52"/>
      <c r="E2430" s="52"/>
      <c r="F2430" s="52"/>
      <c r="G2430" s="52"/>
      <c r="H2430" s="52"/>
      <c r="I2430" s="52"/>
      <c r="J2430" s="52"/>
      <c r="K2430" s="52"/>
      <c r="L2430" s="60">
        <f>L2431</f>
        <v>1</v>
      </c>
      <c r="M2430" s="60" t="str">
        <f>M2431</f>
        <v> -</v>
      </c>
      <c r="N2430" s="60" t="str">
        <f>N2431</f>
        <v> -</v>
      </c>
      <c r="O2430" s="60" t="str">
        <f>O2431</f>
        <v> -</v>
      </c>
      <c r="P2430" s="60" t="str">
        <f>P2431</f>
        <v> -</v>
      </c>
      <c r="Q2430" s="23"/>
      <c r="R2430" s="23"/>
      <c r="S2430" s="17"/>
      <c r="T2430" s="47"/>
      <c r="U2430" s="47"/>
      <c r="V2430" s="47"/>
      <c r="W2430" s="47"/>
      <c r="X2430" s="47"/>
      <c r="Y2430" s="47"/>
      <c r="Z2430" s="47"/>
      <c r="AA2430" s="47"/>
      <c r="AB2430" s="47"/>
      <c r="AC2430" s="47"/>
      <c r="AD2430" s="47"/>
      <c r="AE2430" s="47"/>
      <c r="AF2430" s="47"/>
      <c r="AG2430" s="47"/>
      <c r="AH2430" s="47"/>
      <c r="AI2430" s="47"/>
      <c r="AJ2430" s="47"/>
      <c r="AK2430" s="47"/>
      <c r="AL2430" s="47"/>
      <c r="AM2430" s="47"/>
      <c r="AN2430" s="47"/>
      <c r="AO2430" s="47"/>
      <c r="AP2430" s="47"/>
      <c r="AQ2430" s="47"/>
      <c r="AR2430" s="47"/>
      <c r="AS2430" s="47"/>
      <c r="AT2430" s="47"/>
      <c r="AU2430" s="47"/>
      <c r="AV2430" s="47"/>
    </row>
    <row r="2431" spans="1:48" s="27" customFormat="1" ht="17.25" customHeight="1">
      <c r="A2431" s="12"/>
      <c r="B2431" s="97" t="s">
        <v>566</v>
      </c>
      <c r="C2431" s="15" t="s">
        <v>567</v>
      </c>
      <c r="D2431" s="51"/>
      <c r="E2431" s="51"/>
      <c r="F2431" s="51"/>
      <c r="G2431" s="51">
        <v>1</v>
      </c>
      <c r="H2431" s="51">
        <v>1</v>
      </c>
      <c r="I2431" s="51">
        <v>1</v>
      </c>
      <c r="J2431" s="51">
        <v>1</v>
      </c>
      <c r="K2431" s="51">
        <v>1</v>
      </c>
      <c r="L2431" s="40">
        <v>1</v>
      </c>
      <c r="M2431" s="40" t="s">
        <v>556</v>
      </c>
      <c r="N2431" s="40" t="s">
        <v>556</v>
      </c>
      <c r="O2431" s="40" t="s">
        <v>556</v>
      </c>
      <c r="P2431" s="40" t="s">
        <v>556</v>
      </c>
      <c r="Q2431" s="30"/>
      <c r="R2431" s="30"/>
      <c r="S2431" s="30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</row>
    <row r="2432" spans="1:19" ht="15" customHeight="1">
      <c r="A2432" s="399" t="s">
        <v>653</v>
      </c>
      <c r="B2432" s="399"/>
      <c r="C2432" s="399"/>
      <c r="D2432" s="399"/>
      <c r="E2432" s="399"/>
      <c r="F2432" s="399"/>
      <c r="G2432" s="399"/>
      <c r="H2432" s="399"/>
      <c r="I2432" s="399"/>
      <c r="J2432" s="399"/>
      <c r="K2432" s="399"/>
      <c r="L2432" s="399"/>
      <c r="M2432" s="399"/>
      <c r="N2432" s="399"/>
      <c r="O2432" s="399"/>
      <c r="P2432" s="399"/>
      <c r="Q2432" s="20"/>
      <c r="R2432" s="20"/>
      <c r="S2432" s="7"/>
    </row>
    <row r="2433" spans="1:19" ht="13.5" customHeight="1">
      <c r="A2433" s="400" t="s">
        <v>909</v>
      </c>
      <c r="B2433" s="400"/>
      <c r="C2433" s="400"/>
      <c r="D2433" s="400"/>
      <c r="E2433" s="400"/>
      <c r="F2433" s="400"/>
      <c r="G2433" s="400"/>
      <c r="H2433" s="400"/>
      <c r="I2433" s="400"/>
      <c r="J2433" s="400"/>
      <c r="K2433" s="400"/>
      <c r="L2433" s="400"/>
      <c r="M2433" s="400"/>
      <c r="N2433" s="400"/>
      <c r="O2433" s="400"/>
      <c r="P2433" s="400"/>
      <c r="Q2433" s="21"/>
      <c r="R2433" s="21"/>
      <c r="S2433" s="8"/>
    </row>
    <row r="2434" spans="1:188" s="57" customFormat="1" ht="15.75" customHeight="1">
      <c r="A2434" s="13">
        <v>47</v>
      </c>
      <c r="B2434" s="108" t="s">
        <v>368</v>
      </c>
      <c r="C2434" s="45"/>
      <c r="D2434" s="44">
        <v>82</v>
      </c>
      <c r="E2434" s="44">
        <v>14</v>
      </c>
      <c r="F2434" s="44">
        <v>86</v>
      </c>
      <c r="G2434" s="44">
        <v>86</v>
      </c>
      <c r="H2434" s="44">
        <v>86</v>
      </c>
      <c r="I2434" s="44">
        <v>86</v>
      </c>
      <c r="J2434" s="44"/>
      <c r="K2434" s="44">
        <v>86</v>
      </c>
      <c r="L2434" s="44">
        <f>SUM(L2435,L2438,L2442)</f>
        <v>13</v>
      </c>
      <c r="M2434" s="44">
        <f>SUM(M2435,M2438,M2442)</f>
        <v>14</v>
      </c>
      <c r="N2434" s="44">
        <f>SUM(N2435,N2438,N2442)</f>
        <v>18</v>
      </c>
      <c r="O2434" s="44">
        <f>SUM(O2435,O2438,O2442)</f>
        <v>19</v>
      </c>
      <c r="P2434" s="44">
        <f>SUM(P2435,P2438,P2442)</f>
        <v>21</v>
      </c>
      <c r="Q2434" s="54" t="s">
        <v>648</v>
      </c>
      <c r="R2434" s="54">
        <v>14</v>
      </c>
      <c r="S2434" s="55" t="s">
        <v>574</v>
      </c>
      <c r="T2434" s="56"/>
      <c r="U2434" s="56"/>
      <c r="V2434" s="56"/>
      <c r="W2434" s="56"/>
      <c r="X2434" s="56"/>
      <c r="Y2434" s="56"/>
      <c r="Z2434" s="56"/>
      <c r="AA2434" s="56"/>
      <c r="AB2434" s="56"/>
      <c r="AC2434" s="56"/>
      <c r="AD2434" s="56"/>
      <c r="AE2434" s="56"/>
      <c r="AF2434" s="56"/>
      <c r="AG2434" s="56"/>
      <c r="AH2434" s="56"/>
      <c r="AI2434" s="56"/>
      <c r="AJ2434" s="56"/>
      <c r="AK2434" s="56"/>
      <c r="AL2434" s="56"/>
      <c r="AM2434" s="56"/>
      <c r="AN2434" s="56"/>
      <c r="AO2434" s="56"/>
      <c r="AP2434" s="56"/>
      <c r="AQ2434" s="56"/>
      <c r="AR2434" s="56"/>
      <c r="AS2434" s="56"/>
      <c r="AT2434" s="56"/>
      <c r="AU2434" s="56"/>
      <c r="AV2434" s="56"/>
      <c r="AW2434" s="56"/>
      <c r="AX2434" s="56"/>
      <c r="AY2434" s="56"/>
      <c r="AZ2434" s="56"/>
      <c r="BA2434" s="56"/>
      <c r="BB2434" s="56"/>
      <c r="BC2434" s="56"/>
      <c r="BD2434" s="56"/>
      <c r="BE2434" s="56"/>
      <c r="BF2434" s="56"/>
      <c r="BG2434" s="56"/>
      <c r="BH2434" s="56"/>
      <c r="BI2434" s="56"/>
      <c r="BJ2434" s="56"/>
      <c r="BK2434" s="56"/>
      <c r="BL2434" s="56"/>
      <c r="BM2434" s="56"/>
      <c r="BN2434" s="56"/>
      <c r="BO2434" s="56"/>
      <c r="BP2434" s="56"/>
      <c r="BQ2434" s="56"/>
      <c r="BR2434" s="56"/>
      <c r="BS2434" s="56"/>
      <c r="BT2434" s="56"/>
      <c r="BU2434" s="56"/>
      <c r="BV2434" s="56"/>
      <c r="BW2434" s="56"/>
      <c r="BX2434" s="56"/>
      <c r="BY2434" s="56"/>
      <c r="BZ2434" s="56"/>
      <c r="CA2434" s="56"/>
      <c r="CB2434" s="56"/>
      <c r="CC2434" s="56"/>
      <c r="CD2434" s="56"/>
      <c r="CE2434" s="56"/>
      <c r="CF2434" s="56"/>
      <c r="CG2434" s="56"/>
      <c r="CH2434" s="56"/>
      <c r="CI2434" s="56"/>
      <c r="CJ2434" s="56"/>
      <c r="CK2434" s="56"/>
      <c r="CL2434" s="56"/>
      <c r="CM2434" s="56"/>
      <c r="CN2434" s="56"/>
      <c r="CO2434" s="56"/>
      <c r="CP2434" s="56"/>
      <c r="CQ2434" s="56"/>
      <c r="CR2434" s="56"/>
      <c r="CS2434" s="56"/>
      <c r="CT2434" s="56"/>
      <c r="CU2434" s="56"/>
      <c r="CV2434" s="56"/>
      <c r="CW2434" s="56"/>
      <c r="CX2434" s="56"/>
      <c r="CY2434" s="56"/>
      <c r="CZ2434" s="56"/>
      <c r="DA2434" s="56"/>
      <c r="DB2434" s="56"/>
      <c r="DC2434" s="56"/>
      <c r="DD2434" s="56"/>
      <c r="DE2434" s="56"/>
      <c r="DF2434" s="56"/>
      <c r="DG2434" s="56"/>
      <c r="DH2434" s="56"/>
      <c r="DI2434" s="56"/>
      <c r="DJ2434" s="56"/>
      <c r="DK2434" s="56"/>
      <c r="DL2434" s="56"/>
      <c r="DM2434" s="56"/>
      <c r="DN2434" s="56"/>
      <c r="DO2434" s="56"/>
      <c r="DP2434" s="56"/>
      <c r="DQ2434" s="56"/>
      <c r="DR2434" s="56"/>
      <c r="DS2434" s="56"/>
      <c r="DT2434" s="56"/>
      <c r="DU2434" s="56"/>
      <c r="DV2434" s="56"/>
      <c r="DW2434" s="56"/>
      <c r="DX2434" s="56"/>
      <c r="DY2434" s="56"/>
      <c r="DZ2434" s="56"/>
      <c r="EA2434" s="56"/>
      <c r="EB2434" s="56"/>
      <c r="EC2434" s="56"/>
      <c r="ED2434" s="56"/>
      <c r="EE2434" s="56"/>
      <c r="EF2434" s="56"/>
      <c r="EG2434" s="56"/>
      <c r="EH2434" s="56"/>
      <c r="EI2434" s="56"/>
      <c r="EJ2434" s="56"/>
      <c r="EK2434" s="56"/>
      <c r="EL2434" s="56"/>
      <c r="EM2434" s="56"/>
      <c r="EN2434" s="56"/>
      <c r="EO2434" s="56"/>
      <c r="EP2434" s="56"/>
      <c r="EQ2434" s="56"/>
      <c r="ER2434" s="56"/>
      <c r="ES2434" s="56"/>
      <c r="ET2434" s="56"/>
      <c r="EU2434" s="56"/>
      <c r="EV2434" s="56"/>
      <c r="EW2434" s="56"/>
      <c r="EX2434" s="56"/>
      <c r="EY2434" s="56"/>
      <c r="EZ2434" s="56"/>
      <c r="FA2434" s="56"/>
      <c r="FB2434" s="56"/>
      <c r="FC2434" s="56"/>
      <c r="FD2434" s="56"/>
      <c r="FE2434" s="56"/>
      <c r="FF2434" s="56"/>
      <c r="FG2434" s="56"/>
      <c r="FH2434" s="56"/>
      <c r="FI2434" s="56"/>
      <c r="FJ2434" s="56"/>
      <c r="FK2434" s="56"/>
      <c r="FL2434" s="56"/>
      <c r="FM2434" s="56"/>
      <c r="FN2434" s="56"/>
      <c r="FO2434" s="56"/>
      <c r="FP2434" s="56"/>
      <c r="FQ2434" s="56"/>
      <c r="FR2434" s="56"/>
      <c r="FS2434" s="56"/>
      <c r="FT2434" s="56"/>
      <c r="FU2434" s="56"/>
      <c r="FV2434" s="56"/>
      <c r="FW2434" s="56"/>
      <c r="FX2434" s="56"/>
      <c r="FY2434" s="56"/>
      <c r="FZ2434" s="56"/>
      <c r="GA2434" s="56"/>
      <c r="GB2434" s="56"/>
      <c r="GC2434" s="56"/>
      <c r="GD2434" s="56"/>
      <c r="GE2434" s="56"/>
      <c r="GF2434" s="56"/>
    </row>
    <row r="2435" spans="1:48" s="18" customFormat="1" ht="15.75" customHeight="1">
      <c r="A2435" s="50"/>
      <c r="B2435" s="93" t="s">
        <v>669</v>
      </c>
      <c r="C2435" s="16"/>
      <c r="D2435" s="52"/>
      <c r="E2435" s="52"/>
      <c r="F2435" s="52"/>
      <c r="G2435" s="52"/>
      <c r="H2435" s="52"/>
      <c r="I2435" s="52"/>
      <c r="J2435" s="52"/>
      <c r="K2435" s="52"/>
      <c r="L2435" s="60">
        <f>SUM(L2436:L2437)</f>
        <v>7</v>
      </c>
      <c r="M2435" s="60">
        <f>SUM(M2436:M2437)</f>
        <v>8</v>
      </c>
      <c r="N2435" s="60">
        <f>SUM(N2436:N2437)</f>
        <v>10</v>
      </c>
      <c r="O2435" s="60">
        <f>SUM(O2436:O2437)</f>
        <v>11</v>
      </c>
      <c r="P2435" s="60">
        <f>SUM(P2436:P2437)</f>
        <v>12</v>
      </c>
      <c r="Q2435" s="23"/>
      <c r="R2435" s="23"/>
      <c r="S2435" s="17"/>
      <c r="T2435" s="47"/>
      <c r="U2435" s="47"/>
      <c r="V2435" s="47"/>
      <c r="W2435" s="47"/>
      <c r="X2435" s="47"/>
      <c r="Y2435" s="47"/>
      <c r="Z2435" s="47"/>
      <c r="AA2435" s="47"/>
      <c r="AB2435" s="47"/>
      <c r="AC2435" s="47"/>
      <c r="AD2435" s="47"/>
      <c r="AE2435" s="47"/>
      <c r="AF2435" s="47"/>
      <c r="AG2435" s="47"/>
      <c r="AH2435" s="47"/>
      <c r="AI2435" s="47"/>
      <c r="AJ2435" s="47"/>
      <c r="AK2435" s="47"/>
      <c r="AL2435" s="47"/>
      <c r="AM2435" s="47"/>
      <c r="AN2435" s="47"/>
      <c r="AO2435" s="47"/>
      <c r="AP2435" s="47"/>
      <c r="AQ2435" s="47"/>
      <c r="AR2435" s="47"/>
      <c r="AS2435" s="47"/>
      <c r="AT2435" s="47"/>
      <c r="AU2435" s="47"/>
      <c r="AV2435" s="47"/>
    </row>
    <row r="2436" spans="1:48" s="27" customFormat="1" ht="15.75" customHeight="1">
      <c r="A2436" s="12"/>
      <c r="B2436" s="97" t="s">
        <v>411</v>
      </c>
      <c r="C2436" s="29" t="s">
        <v>412</v>
      </c>
      <c r="D2436" s="51"/>
      <c r="E2436" s="51"/>
      <c r="F2436" s="51"/>
      <c r="G2436" s="51"/>
      <c r="H2436" s="51"/>
      <c r="I2436" s="51"/>
      <c r="J2436" s="51"/>
      <c r="K2436" s="51"/>
      <c r="L2436" s="40">
        <v>1</v>
      </c>
      <c r="M2436" s="40" t="s">
        <v>556</v>
      </c>
      <c r="N2436" s="40">
        <v>1</v>
      </c>
      <c r="O2436" s="40">
        <v>1</v>
      </c>
      <c r="P2436" s="40" t="s">
        <v>556</v>
      </c>
      <c r="Q2436" s="102" t="s">
        <v>556</v>
      </c>
      <c r="R2436" s="101" t="s">
        <v>556</v>
      </c>
      <c r="S2436" s="101" t="s">
        <v>556</v>
      </c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</row>
    <row r="2437" spans="1:48" s="27" customFormat="1" ht="15.75" customHeight="1">
      <c r="A2437" s="12"/>
      <c r="B2437" s="97" t="s">
        <v>555</v>
      </c>
      <c r="C2437" s="29" t="s">
        <v>445</v>
      </c>
      <c r="D2437" s="51"/>
      <c r="E2437" s="51"/>
      <c r="F2437" s="51">
        <v>41</v>
      </c>
      <c r="G2437" s="51">
        <v>41</v>
      </c>
      <c r="H2437" s="51">
        <v>42</v>
      </c>
      <c r="I2437" s="51">
        <v>43</v>
      </c>
      <c r="J2437" s="51"/>
      <c r="K2437" s="51">
        <v>44</v>
      </c>
      <c r="L2437" s="40">
        <v>6</v>
      </c>
      <c r="M2437" s="40">
        <v>8</v>
      </c>
      <c r="N2437" s="40">
        <v>9</v>
      </c>
      <c r="O2437" s="40">
        <v>10</v>
      </c>
      <c r="P2437" s="40">
        <v>12</v>
      </c>
      <c r="Q2437" s="102" t="s">
        <v>556</v>
      </c>
      <c r="R2437" s="101" t="s">
        <v>556</v>
      </c>
      <c r="S2437" s="101" t="s">
        <v>556</v>
      </c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</row>
    <row r="2438" spans="1:48" s="18" customFormat="1" ht="15.75" customHeight="1">
      <c r="A2438" s="50"/>
      <c r="B2438" s="93" t="s">
        <v>670</v>
      </c>
      <c r="C2438" s="16"/>
      <c r="D2438" s="52"/>
      <c r="E2438" s="52"/>
      <c r="F2438" s="52"/>
      <c r="G2438" s="52"/>
      <c r="H2438" s="52"/>
      <c r="I2438" s="52"/>
      <c r="J2438" s="52"/>
      <c r="K2438" s="52"/>
      <c r="L2438" s="60">
        <f>SUM(L2439:L2441)</f>
        <v>3</v>
      </c>
      <c r="M2438" s="60">
        <f>SUM(M2439:M2441)</f>
        <v>4</v>
      </c>
      <c r="N2438" s="60">
        <f>SUM(N2439:N2441)</f>
        <v>4</v>
      </c>
      <c r="O2438" s="60">
        <f>SUM(O2439:O2441)</f>
        <v>6</v>
      </c>
      <c r="P2438" s="60">
        <f>SUM(P2439:P2441)</f>
        <v>7</v>
      </c>
      <c r="Q2438" s="23"/>
      <c r="R2438" s="23"/>
      <c r="S2438" s="17"/>
      <c r="T2438" s="47"/>
      <c r="U2438" s="47"/>
      <c r="V2438" s="47"/>
      <c r="W2438" s="47"/>
      <c r="X2438" s="47"/>
      <c r="Y2438" s="47"/>
      <c r="Z2438" s="47"/>
      <c r="AA2438" s="47"/>
      <c r="AB2438" s="47"/>
      <c r="AC2438" s="47"/>
      <c r="AD2438" s="47"/>
      <c r="AE2438" s="47"/>
      <c r="AF2438" s="47"/>
      <c r="AG2438" s="47"/>
      <c r="AH2438" s="47"/>
      <c r="AI2438" s="47"/>
      <c r="AJ2438" s="47"/>
      <c r="AK2438" s="47"/>
      <c r="AL2438" s="47"/>
      <c r="AM2438" s="47"/>
      <c r="AN2438" s="47"/>
      <c r="AO2438" s="47"/>
      <c r="AP2438" s="47"/>
      <c r="AQ2438" s="47"/>
      <c r="AR2438" s="47"/>
      <c r="AS2438" s="47"/>
      <c r="AT2438" s="47"/>
      <c r="AU2438" s="47"/>
      <c r="AV2438" s="47"/>
    </row>
    <row r="2439" spans="1:48" s="27" customFormat="1" ht="15.75" customHeight="1">
      <c r="A2439" s="12"/>
      <c r="B2439" s="97" t="s">
        <v>403</v>
      </c>
      <c r="C2439" s="29" t="s">
        <v>404</v>
      </c>
      <c r="D2439" s="51"/>
      <c r="E2439" s="51"/>
      <c r="F2439" s="51"/>
      <c r="G2439" s="51"/>
      <c r="H2439" s="51"/>
      <c r="I2439" s="51"/>
      <c r="J2439" s="51"/>
      <c r="K2439" s="51"/>
      <c r="L2439" s="40" t="s">
        <v>556</v>
      </c>
      <c r="M2439" s="40" t="s">
        <v>556</v>
      </c>
      <c r="N2439" s="40" t="s">
        <v>556</v>
      </c>
      <c r="O2439" s="40">
        <v>1</v>
      </c>
      <c r="P2439" s="40">
        <v>1</v>
      </c>
      <c r="Q2439" s="102" t="s">
        <v>556</v>
      </c>
      <c r="R2439" s="101" t="s">
        <v>556</v>
      </c>
      <c r="S2439" s="101" t="s">
        <v>556</v>
      </c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</row>
    <row r="2440" spans="1:48" s="27" customFormat="1" ht="15.75" customHeight="1">
      <c r="A2440" s="12"/>
      <c r="B2440" s="97" t="s">
        <v>1285</v>
      </c>
      <c r="C2440" s="15" t="s">
        <v>1286</v>
      </c>
      <c r="D2440" s="51"/>
      <c r="E2440" s="51"/>
      <c r="F2440" s="51"/>
      <c r="G2440" s="51"/>
      <c r="H2440" s="51"/>
      <c r="I2440" s="51"/>
      <c r="J2440" s="51"/>
      <c r="K2440" s="51"/>
      <c r="L2440" s="40">
        <v>3</v>
      </c>
      <c r="M2440" s="40">
        <v>4</v>
      </c>
      <c r="N2440" s="40">
        <v>4</v>
      </c>
      <c r="O2440" s="40">
        <v>5</v>
      </c>
      <c r="P2440" s="40">
        <v>6</v>
      </c>
      <c r="Q2440" s="103"/>
      <c r="R2440" s="103"/>
      <c r="S2440" s="103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</row>
    <row r="2441" spans="1:48" s="27" customFormat="1" ht="15.75" customHeight="1">
      <c r="A2441" s="12"/>
      <c r="B2441" s="97" t="s">
        <v>561</v>
      </c>
      <c r="C2441" s="29" t="s">
        <v>1053</v>
      </c>
      <c r="D2441" s="51"/>
      <c r="E2441" s="51"/>
      <c r="F2441" s="51">
        <v>4</v>
      </c>
      <c r="G2441" s="51">
        <v>4</v>
      </c>
      <c r="H2441" s="51">
        <v>4</v>
      </c>
      <c r="I2441" s="51">
        <v>4</v>
      </c>
      <c r="J2441" s="51"/>
      <c r="K2441" s="51">
        <v>4</v>
      </c>
      <c r="L2441" s="40" t="s">
        <v>556</v>
      </c>
      <c r="M2441" s="40" t="s">
        <v>556</v>
      </c>
      <c r="N2441" s="40" t="s">
        <v>556</v>
      </c>
      <c r="O2441" s="40" t="s">
        <v>556</v>
      </c>
      <c r="P2441" s="40" t="s">
        <v>556</v>
      </c>
      <c r="Q2441" s="30"/>
      <c r="R2441" s="30"/>
      <c r="S2441" s="30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</row>
    <row r="2442" spans="1:48" s="18" customFormat="1" ht="18" customHeight="1">
      <c r="A2442" s="50"/>
      <c r="B2442" s="93" t="s">
        <v>37</v>
      </c>
      <c r="C2442" s="16"/>
      <c r="D2442" s="52"/>
      <c r="E2442" s="52"/>
      <c r="F2442" s="52"/>
      <c r="G2442" s="52"/>
      <c r="H2442" s="52"/>
      <c r="I2442" s="52"/>
      <c r="J2442" s="52"/>
      <c r="K2442" s="52"/>
      <c r="L2442" s="60">
        <f>SUM(L2443:L2444)</f>
        <v>3</v>
      </c>
      <c r="M2442" s="60">
        <f>SUM(M2443:M2444)</f>
        <v>2</v>
      </c>
      <c r="N2442" s="60">
        <f>SUM(N2443:N2444)</f>
        <v>4</v>
      </c>
      <c r="O2442" s="60">
        <f>SUM(O2443:O2444)</f>
        <v>2</v>
      </c>
      <c r="P2442" s="60">
        <f>SUM(P2443:P2444)</f>
        <v>2</v>
      </c>
      <c r="Q2442" s="23"/>
      <c r="R2442" s="23"/>
      <c r="S2442" s="17"/>
      <c r="T2442" s="47"/>
      <c r="U2442" s="47"/>
      <c r="V2442" s="47"/>
      <c r="W2442" s="47"/>
      <c r="X2442" s="47"/>
      <c r="Y2442" s="47"/>
      <c r="Z2442" s="47"/>
      <c r="AA2442" s="47"/>
      <c r="AB2442" s="47"/>
      <c r="AC2442" s="47"/>
      <c r="AD2442" s="47"/>
      <c r="AE2442" s="47"/>
      <c r="AF2442" s="47"/>
      <c r="AG2442" s="47"/>
      <c r="AH2442" s="47"/>
      <c r="AI2442" s="47"/>
      <c r="AJ2442" s="47"/>
      <c r="AK2442" s="47"/>
      <c r="AL2442" s="47"/>
      <c r="AM2442" s="47"/>
      <c r="AN2442" s="47"/>
      <c r="AO2442" s="47"/>
      <c r="AP2442" s="47"/>
      <c r="AQ2442" s="47"/>
      <c r="AR2442" s="47"/>
      <c r="AS2442" s="47"/>
      <c r="AT2442" s="47"/>
      <c r="AU2442" s="47"/>
      <c r="AV2442" s="47"/>
    </row>
    <row r="2443" spans="1:48" s="27" customFormat="1" ht="18" customHeight="1">
      <c r="A2443" s="12"/>
      <c r="B2443" s="97" t="s">
        <v>38</v>
      </c>
      <c r="C2443" s="29" t="s">
        <v>457</v>
      </c>
      <c r="D2443" s="51"/>
      <c r="E2443" s="51"/>
      <c r="F2443" s="51"/>
      <c r="G2443" s="51"/>
      <c r="H2443" s="51"/>
      <c r="I2443" s="51"/>
      <c r="J2443" s="51"/>
      <c r="K2443" s="51"/>
      <c r="L2443" s="40">
        <v>1</v>
      </c>
      <c r="M2443" s="40" t="s">
        <v>556</v>
      </c>
      <c r="N2443" s="40">
        <v>2</v>
      </c>
      <c r="O2443" s="40" t="s">
        <v>556</v>
      </c>
      <c r="P2443" s="40" t="s">
        <v>556</v>
      </c>
      <c r="Q2443" s="33">
        <v>1</v>
      </c>
      <c r="R2443" s="28">
        <v>1</v>
      </c>
      <c r="S2443" s="28">
        <v>1</v>
      </c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</row>
    <row r="2444" spans="1:48" s="27" customFormat="1" ht="18" customHeight="1">
      <c r="A2444" s="12"/>
      <c r="B2444" s="106" t="s">
        <v>40</v>
      </c>
      <c r="C2444" s="66" t="s">
        <v>39</v>
      </c>
      <c r="D2444" s="51"/>
      <c r="E2444" s="51"/>
      <c r="F2444" s="51"/>
      <c r="G2444" s="51"/>
      <c r="H2444" s="51"/>
      <c r="I2444" s="51"/>
      <c r="J2444" s="51"/>
      <c r="K2444" s="51"/>
      <c r="L2444" s="40">
        <v>2</v>
      </c>
      <c r="M2444" s="40">
        <v>2</v>
      </c>
      <c r="N2444" s="40">
        <v>2</v>
      </c>
      <c r="O2444" s="40">
        <v>2</v>
      </c>
      <c r="P2444" s="40">
        <v>2</v>
      </c>
      <c r="Q2444" s="30"/>
      <c r="R2444" s="30"/>
      <c r="S2444" s="30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</row>
    <row r="2445" spans="1:188" s="57" customFormat="1" ht="18.75" customHeight="1">
      <c r="A2445" s="13">
        <v>48</v>
      </c>
      <c r="B2445" s="108" t="s">
        <v>369</v>
      </c>
      <c r="C2445" s="45"/>
      <c r="D2445" s="44"/>
      <c r="E2445" s="44"/>
      <c r="F2445" s="44">
        <v>5</v>
      </c>
      <c r="G2445" s="44">
        <v>5</v>
      </c>
      <c r="H2445" s="44">
        <v>5</v>
      </c>
      <c r="I2445" s="44">
        <v>5</v>
      </c>
      <c r="J2445" s="44"/>
      <c r="K2445" s="44">
        <v>5</v>
      </c>
      <c r="L2445" s="44" t="s">
        <v>556</v>
      </c>
      <c r="M2445" s="44">
        <v>1</v>
      </c>
      <c r="N2445" s="44">
        <v>1</v>
      </c>
      <c r="O2445" s="44">
        <v>1</v>
      </c>
      <c r="P2445" s="44">
        <v>1</v>
      </c>
      <c r="Q2445" s="54" t="s">
        <v>648</v>
      </c>
      <c r="R2445" s="54">
        <v>14</v>
      </c>
      <c r="S2445" s="55" t="s">
        <v>574</v>
      </c>
      <c r="T2445" s="56"/>
      <c r="U2445" s="56"/>
      <c r="V2445" s="56"/>
      <c r="W2445" s="56"/>
      <c r="X2445" s="56"/>
      <c r="Y2445" s="56"/>
      <c r="Z2445" s="56"/>
      <c r="AA2445" s="56"/>
      <c r="AB2445" s="56"/>
      <c r="AC2445" s="56"/>
      <c r="AD2445" s="56"/>
      <c r="AE2445" s="56"/>
      <c r="AF2445" s="56"/>
      <c r="AG2445" s="56"/>
      <c r="AH2445" s="56"/>
      <c r="AI2445" s="56"/>
      <c r="AJ2445" s="56"/>
      <c r="AK2445" s="56"/>
      <c r="AL2445" s="56"/>
      <c r="AM2445" s="56"/>
      <c r="AN2445" s="56"/>
      <c r="AO2445" s="56"/>
      <c r="AP2445" s="56"/>
      <c r="AQ2445" s="56"/>
      <c r="AR2445" s="56"/>
      <c r="AS2445" s="56"/>
      <c r="AT2445" s="56"/>
      <c r="AU2445" s="56"/>
      <c r="AV2445" s="56"/>
      <c r="AW2445" s="56"/>
      <c r="AX2445" s="56"/>
      <c r="AY2445" s="56"/>
      <c r="AZ2445" s="56"/>
      <c r="BA2445" s="56"/>
      <c r="BB2445" s="56"/>
      <c r="BC2445" s="56"/>
      <c r="BD2445" s="56"/>
      <c r="BE2445" s="56"/>
      <c r="BF2445" s="56"/>
      <c r="BG2445" s="56"/>
      <c r="BH2445" s="56"/>
      <c r="BI2445" s="56"/>
      <c r="BJ2445" s="56"/>
      <c r="BK2445" s="56"/>
      <c r="BL2445" s="56"/>
      <c r="BM2445" s="56"/>
      <c r="BN2445" s="56"/>
      <c r="BO2445" s="56"/>
      <c r="BP2445" s="56"/>
      <c r="BQ2445" s="56"/>
      <c r="BR2445" s="56"/>
      <c r="BS2445" s="56"/>
      <c r="BT2445" s="56"/>
      <c r="BU2445" s="56"/>
      <c r="BV2445" s="56"/>
      <c r="BW2445" s="56"/>
      <c r="BX2445" s="56"/>
      <c r="BY2445" s="56"/>
      <c r="BZ2445" s="56"/>
      <c r="CA2445" s="56"/>
      <c r="CB2445" s="56"/>
      <c r="CC2445" s="56"/>
      <c r="CD2445" s="56"/>
      <c r="CE2445" s="56"/>
      <c r="CF2445" s="56"/>
      <c r="CG2445" s="56"/>
      <c r="CH2445" s="56"/>
      <c r="CI2445" s="56"/>
      <c r="CJ2445" s="56"/>
      <c r="CK2445" s="56"/>
      <c r="CL2445" s="56"/>
      <c r="CM2445" s="56"/>
      <c r="CN2445" s="56"/>
      <c r="CO2445" s="56"/>
      <c r="CP2445" s="56"/>
      <c r="CQ2445" s="56"/>
      <c r="CR2445" s="56"/>
      <c r="CS2445" s="56"/>
      <c r="CT2445" s="56"/>
      <c r="CU2445" s="56"/>
      <c r="CV2445" s="56"/>
      <c r="CW2445" s="56"/>
      <c r="CX2445" s="56"/>
      <c r="CY2445" s="56"/>
      <c r="CZ2445" s="56"/>
      <c r="DA2445" s="56"/>
      <c r="DB2445" s="56"/>
      <c r="DC2445" s="56"/>
      <c r="DD2445" s="56"/>
      <c r="DE2445" s="56"/>
      <c r="DF2445" s="56"/>
      <c r="DG2445" s="56"/>
      <c r="DH2445" s="56"/>
      <c r="DI2445" s="56"/>
      <c r="DJ2445" s="56"/>
      <c r="DK2445" s="56"/>
      <c r="DL2445" s="56"/>
      <c r="DM2445" s="56"/>
      <c r="DN2445" s="56"/>
      <c r="DO2445" s="56"/>
      <c r="DP2445" s="56"/>
      <c r="DQ2445" s="56"/>
      <c r="DR2445" s="56"/>
      <c r="DS2445" s="56"/>
      <c r="DT2445" s="56"/>
      <c r="DU2445" s="56"/>
      <c r="DV2445" s="56"/>
      <c r="DW2445" s="56"/>
      <c r="DX2445" s="56"/>
      <c r="DY2445" s="56"/>
      <c r="DZ2445" s="56"/>
      <c r="EA2445" s="56"/>
      <c r="EB2445" s="56"/>
      <c r="EC2445" s="56"/>
      <c r="ED2445" s="56"/>
      <c r="EE2445" s="56"/>
      <c r="EF2445" s="56"/>
      <c r="EG2445" s="56"/>
      <c r="EH2445" s="56"/>
      <c r="EI2445" s="56"/>
      <c r="EJ2445" s="56"/>
      <c r="EK2445" s="56"/>
      <c r="EL2445" s="56"/>
      <c r="EM2445" s="56"/>
      <c r="EN2445" s="56"/>
      <c r="EO2445" s="56"/>
      <c r="EP2445" s="56"/>
      <c r="EQ2445" s="56"/>
      <c r="ER2445" s="56"/>
      <c r="ES2445" s="56"/>
      <c r="ET2445" s="56"/>
      <c r="EU2445" s="56"/>
      <c r="EV2445" s="56"/>
      <c r="EW2445" s="56"/>
      <c r="EX2445" s="56"/>
      <c r="EY2445" s="56"/>
      <c r="EZ2445" s="56"/>
      <c r="FA2445" s="56"/>
      <c r="FB2445" s="56"/>
      <c r="FC2445" s="56"/>
      <c r="FD2445" s="56"/>
      <c r="FE2445" s="56"/>
      <c r="FF2445" s="56"/>
      <c r="FG2445" s="56"/>
      <c r="FH2445" s="56"/>
      <c r="FI2445" s="56"/>
      <c r="FJ2445" s="56"/>
      <c r="FK2445" s="56"/>
      <c r="FL2445" s="56"/>
      <c r="FM2445" s="56"/>
      <c r="FN2445" s="56"/>
      <c r="FO2445" s="56"/>
      <c r="FP2445" s="56"/>
      <c r="FQ2445" s="56"/>
      <c r="FR2445" s="56"/>
      <c r="FS2445" s="56"/>
      <c r="FT2445" s="56"/>
      <c r="FU2445" s="56"/>
      <c r="FV2445" s="56"/>
      <c r="FW2445" s="56"/>
      <c r="FX2445" s="56"/>
      <c r="FY2445" s="56"/>
      <c r="FZ2445" s="56"/>
      <c r="GA2445" s="56"/>
      <c r="GB2445" s="56"/>
      <c r="GC2445" s="56"/>
      <c r="GD2445" s="56"/>
      <c r="GE2445" s="56"/>
      <c r="GF2445" s="56"/>
    </row>
    <row r="2446" spans="1:48" s="18" customFormat="1" ht="18.75" customHeight="1">
      <c r="A2446" s="50"/>
      <c r="B2446" s="93" t="s">
        <v>669</v>
      </c>
      <c r="C2446" s="16"/>
      <c r="D2446" s="52"/>
      <c r="E2446" s="52"/>
      <c r="F2446" s="52"/>
      <c r="G2446" s="52"/>
      <c r="H2446" s="52"/>
      <c r="I2446" s="52"/>
      <c r="J2446" s="52"/>
      <c r="K2446" s="52"/>
      <c r="L2446" s="60" t="str">
        <f>L2447</f>
        <v> -</v>
      </c>
      <c r="M2446" s="60">
        <f>M2447</f>
        <v>1</v>
      </c>
      <c r="N2446" s="60" t="str">
        <f>N2447</f>
        <v> -</v>
      </c>
      <c r="O2446" s="60">
        <f>O2447</f>
        <v>1</v>
      </c>
      <c r="P2446" s="60">
        <f>P2447</f>
        <v>1</v>
      </c>
      <c r="Q2446" s="23"/>
      <c r="R2446" s="23"/>
      <c r="S2446" s="17"/>
      <c r="T2446" s="47"/>
      <c r="U2446" s="47"/>
      <c r="V2446" s="47"/>
      <c r="W2446" s="47"/>
      <c r="X2446" s="47"/>
      <c r="Y2446" s="47"/>
      <c r="Z2446" s="47"/>
      <c r="AA2446" s="47"/>
      <c r="AB2446" s="47"/>
      <c r="AC2446" s="47"/>
      <c r="AD2446" s="47"/>
      <c r="AE2446" s="47"/>
      <c r="AF2446" s="47"/>
      <c r="AG2446" s="47"/>
      <c r="AH2446" s="47"/>
      <c r="AI2446" s="47"/>
      <c r="AJ2446" s="47"/>
      <c r="AK2446" s="47"/>
      <c r="AL2446" s="47"/>
      <c r="AM2446" s="47"/>
      <c r="AN2446" s="47"/>
      <c r="AO2446" s="47"/>
      <c r="AP2446" s="47"/>
      <c r="AQ2446" s="47"/>
      <c r="AR2446" s="47"/>
      <c r="AS2446" s="47"/>
      <c r="AT2446" s="47"/>
      <c r="AU2446" s="47"/>
      <c r="AV2446" s="47"/>
    </row>
    <row r="2447" spans="1:48" s="27" customFormat="1" ht="18.75" customHeight="1">
      <c r="A2447" s="12"/>
      <c r="B2447" s="97" t="s">
        <v>411</v>
      </c>
      <c r="C2447" s="29" t="s">
        <v>412</v>
      </c>
      <c r="D2447" s="51"/>
      <c r="E2447" s="51"/>
      <c r="F2447" s="51"/>
      <c r="G2447" s="51"/>
      <c r="H2447" s="51"/>
      <c r="I2447" s="51"/>
      <c r="J2447" s="51"/>
      <c r="K2447" s="51"/>
      <c r="L2447" s="40" t="s">
        <v>556</v>
      </c>
      <c r="M2447" s="40">
        <v>1</v>
      </c>
      <c r="N2447" s="40" t="s">
        <v>556</v>
      </c>
      <c r="O2447" s="40">
        <v>1</v>
      </c>
      <c r="P2447" s="40">
        <v>1</v>
      </c>
      <c r="Q2447" s="30"/>
      <c r="R2447" s="30"/>
      <c r="S2447" s="30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</row>
    <row r="2448" spans="1:48" s="18" customFormat="1" ht="18.75" customHeight="1">
      <c r="A2448" s="50"/>
      <c r="B2448" s="93" t="s">
        <v>670</v>
      </c>
      <c r="C2448" s="16"/>
      <c r="D2448" s="52"/>
      <c r="E2448" s="52"/>
      <c r="F2448" s="52"/>
      <c r="G2448" s="52"/>
      <c r="H2448" s="52"/>
      <c r="I2448" s="52"/>
      <c r="J2448" s="52"/>
      <c r="K2448" s="52"/>
      <c r="L2448" s="60" t="str">
        <f>L2449</f>
        <v> -</v>
      </c>
      <c r="M2448" s="60" t="str">
        <f>M2449</f>
        <v> -</v>
      </c>
      <c r="N2448" s="60">
        <f>N2449</f>
        <v>1</v>
      </c>
      <c r="O2448" s="60" t="str">
        <f>O2449</f>
        <v> -</v>
      </c>
      <c r="P2448" s="60" t="str">
        <f>P2449</f>
        <v> -</v>
      </c>
      <c r="Q2448" s="23"/>
      <c r="R2448" s="23"/>
      <c r="S2448" s="17"/>
      <c r="T2448" s="47"/>
      <c r="U2448" s="47"/>
      <c r="V2448" s="47"/>
      <c r="W2448" s="47"/>
      <c r="X2448" s="47"/>
      <c r="Y2448" s="47"/>
      <c r="Z2448" s="47"/>
      <c r="AA2448" s="47"/>
      <c r="AB2448" s="47"/>
      <c r="AC2448" s="47"/>
      <c r="AD2448" s="47"/>
      <c r="AE2448" s="47"/>
      <c r="AF2448" s="47"/>
      <c r="AG2448" s="47"/>
      <c r="AH2448" s="47"/>
      <c r="AI2448" s="47"/>
      <c r="AJ2448" s="47"/>
      <c r="AK2448" s="47"/>
      <c r="AL2448" s="47"/>
      <c r="AM2448" s="47"/>
      <c r="AN2448" s="47"/>
      <c r="AO2448" s="47"/>
      <c r="AP2448" s="47"/>
      <c r="AQ2448" s="47"/>
      <c r="AR2448" s="47"/>
      <c r="AS2448" s="47"/>
      <c r="AT2448" s="47"/>
      <c r="AU2448" s="47"/>
      <c r="AV2448" s="47"/>
    </row>
    <row r="2449" spans="1:48" s="27" customFormat="1" ht="18.75" customHeight="1">
      <c r="A2449" s="12"/>
      <c r="B2449" s="97" t="s">
        <v>403</v>
      </c>
      <c r="C2449" s="29" t="s">
        <v>404</v>
      </c>
      <c r="D2449" s="51"/>
      <c r="E2449" s="51"/>
      <c r="F2449" s="51"/>
      <c r="G2449" s="51"/>
      <c r="H2449" s="51"/>
      <c r="I2449" s="51"/>
      <c r="J2449" s="51"/>
      <c r="K2449" s="51"/>
      <c r="L2449" s="40" t="s">
        <v>556</v>
      </c>
      <c r="M2449" s="40" t="s">
        <v>556</v>
      </c>
      <c r="N2449" s="40">
        <v>1</v>
      </c>
      <c r="O2449" s="40" t="s">
        <v>556</v>
      </c>
      <c r="P2449" s="40" t="s">
        <v>556</v>
      </c>
      <c r="Q2449" s="33">
        <v>1</v>
      </c>
      <c r="R2449" s="28">
        <v>1</v>
      </c>
      <c r="S2449" s="28">
        <v>1</v>
      </c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</row>
    <row r="2450" spans="1:19" ht="15" customHeight="1">
      <c r="A2450" s="399" t="s">
        <v>652</v>
      </c>
      <c r="B2450" s="399"/>
      <c r="C2450" s="399"/>
      <c r="D2450" s="399"/>
      <c r="E2450" s="399"/>
      <c r="F2450" s="399"/>
      <c r="G2450" s="399"/>
      <c r="H2450" s="399"/>
      <c r="I2450" s="399"/>
      <c r="J2450" s="399"/>
      <c r="K2450" s="399"/>
      <c r="L2450" s="399"/>
      <c r="M2450" s="399"/>
      <c r="N2450" s="399"/>
      <c r="O2450" s="399"/>
      <c r="P2450" s="399"/>
      <c r="Q2450" s="20"/>
      <c r="R2450" s="20"/>
      <c r="S2450" s="7"/>
    </row>
    <row r="2451" spans="1:19" ht="13.5" customHeight="1">
      <c r="A2451" s="400" t="s">
        <v>676</v>
      </c>
      <c r="B2451" s="400"/>
      <c r="C2451" s="400"/>
      <c r="D2451" s="400"/>
      <c r="E2451" s="400"/>
      <c r="F2451" s="400"/>
      <c r="G2451" s="400"/>
      <c r="H2451" s="400"/>
      <c r="I2451" s="400"/>
      <c r="J2451" s="400"/>
      <c r="K2451" s="400"/>
      <c r="L2451" s="400"/>
      <c r="M2451" s="400"/>
      <c r="N2451" s="400"/>
      <c r="O2451" s="400"/>
      <c r="P2451" s="400"/>
      <c r="Q2451" s="21"/>
      <c r="R2451" s="21"/>
      <c r="S2451" s="8"/>
    </row>
    <row r="2452" spans="1:188" s="57" customFormat="1" ht="15.75" customHeight="1">
      <c r="A2452" s="13">
        <v>49</v>
      </c>
      <c r="B2452" s="108" t="s">
        <v>370</v>
      </c>
      <c r="C2452" s="45"/>
      <c r="D2452" s="44">
        <v>242</v>
      </c>
      <c r="E2452" s="44">
        <v>20</v>
      </c>
      <c r="F2452" s="44">
        <v>409</v>
      </c>
      <c r="G2452" s="44">
        <v>409</v>
      </c>
      <c r="H2452" s="44">
        <v>409</v>
      </c>
      <c r="I2452" s="44">
        <v>409</v>
      </c>
      <c r="J2452" s="44"/>
      <c r="K2452" s="44">
        <v>409</v>
      </c>
      <c r="L2452" s="44">
        <v>6</v>
      </c>
      <c r="M2452" s="44">
        <v>5</v>
      </c>
      <c r="N2452" s="44">
        <v>7</v>
      </c>
      <c r="O2452" s="44">
        <v>3</v>
      </c>
      <c r="P2452" s="44">
        <v>4</v>
      </c>
      <c r="Q2452" s="54" t="s">
        <v>648</v>
      </c>
      <c r="R2452" s="54">
        <v>15</v>
      </c>
      <c r="S2452" s="55" t="s">
        <v>573</v>
      </c>
      <c r="T2452" s="56"/>
      <c r="U2452" s="56"/>
      <c r="V2452" s="56"/>
      <c r="W2452" s="56"/>
      <c r="X2452" s="56"/>
      <c r="Y2452" s="56"/>
      <c r="Z2452" s="56"/>
      <c r="AA2452" s="56"/>
      <c r="AB2452" s="56"/>
      <c r="AC2452" s="56"/>
      <c r="AD2452" s="56"/>
      <c r="AE2452" s="56"/>
      <c r="AF2452" s="56"/>
      <c r="AG2452" s="56"/>
      <c r="AH2452" s="56"/>
      <c r="AI2452" s="56"/>
      <c r="AJ2452" s="56"/>
      <c r="AK2452" s="56"/>
      <c r="AL2452" s="56"/>
      <c r="AM2452" s="56"/>
      <c r="AN2452" s="56"/>
      <c r="AO2452" s="56"/>
      <c r="AP2452" s="56"/>
      <c r="AQ2452" s="56"/>
      <c r="AR2452" s="56"/>
      <c r="AS2452" s="56"/>
      <c r="AT2452" s="56"/>
      <c r="AU2452" s="56"/>
      <c r="AV2452" s="56"/>
      <c r="AW2452" s="56"/>
      <c r="AX2452" s="56"/>
      <c r="AY2452" s="56"/>
      <c r="AZ2452" s="56"/>
      <c r="BA2452" s="56"/>
      <c r="BB2452" s="56"/>
      <c r="BC2452" s="56"/>
      <c r="BD2452" s="56"/>
      <c r="BE2452" s="56"/>
      <c r="BF2452" s="56"/>
      <c r="BG2452" s="56"/>
      <c r="BH2452" s="56"/>
      <c r="BI2452" s="56"/>
      <c r="BJ2452" s="56"/>
      <c r="BK2452" s="56"/>
      <c r="BL2452" s="56"/>
      <c r="BM2452" s="56"/>
      <c r="BN2452" s="56"/>
      <c r="BO2452" s="56"/>
      <c r="BP2452" s="56"/>
      <c r="BQ2452" s="56"/>
      <c r="BR2452" s="56"/>
      <c r="BS2452" s="56"/>
      <c r="BT2452" s="56"/>
      <c r="BU2452" s="56"/>
      <c r="BV2452" s="56"/>
      <c r="BW2452" s="56"/>
      <c r="BX2452" s="56"/>
      <c r="BY2452" s="56"/>
      <c r="BZ2452" s="56"/>
      <c r="CA2452" s="56"/>
      <c r="CB2452" s="56"/>
      <c r="CC2452" s="56"/>
      <c r="CD2452" s="56"/>
      <c r="CE2452" s="56"/>
      <c r="CF2452" s="56"/>
      <c r="CG2452" s="56"/>
      <c r="CH2452" s="56"/>
      <c r="CI2452" s="56"/>
      <c r="CJ2452" s="56"/>
      <c r="CK2452" s="56"/>
      <c r="CL2452" s="56"/>
      <c r="CM2452" s="56"/>
      <c r="CN2452" s="56"/>
      <c r="CO2452" s="56"/>
      <c r="CP2452" s="56"/>
      <c r="CQ2452" s="56"/>
      <c r="CR2452" s="56"/>
      <c r="CS2452" s="56"/>
      <c r="CT2452" s="56"/>
      <c r="CU2452" s="56"/>
      <c r="CV2452" s="56"/>
      <c r="CW2452" s="56"/>
      <c r="CX2452" s="56"/>
      <c r="CY2452" s="56"/>
      <c r="CZ2452" s="56"/>
      <c r="DA2452" s="56"/>
      <c r="DB2452" s="56"/>
      <c r="DC2452" s="56"/>
      <c r="DD2452" s="56"/>
      <c r="DE2452" s="56"/>
      <c r="DF2452" s="56"/>
      <c r="DG2452" s="56"/>
      <c r="DH2452" s="56"/>
      <c r="DI2452" s="56"/>
      <c r="DJ2452" s="56"/>
      <c r="DK2452" s="56"/>
      <c r="DL2452" s="56"/>
      <c r="DM2452" s="56"/>
      <c r="DN2452" s="56"/>
      <c r="DO2452" s="56"/>
      <c r="DP2452" s="56"/>
      <c r="DQ2452" s="56"/>
      <c r="DR2452" s="56"/>
      <c r="DS2452" s="56"/>
      <c r="DT2452" s="56"/>
      <c r="DU2452" s="56"/>
      <c r="DV2452" s="56"/>
      <c r="DW2452" s="56"/>
      <c r="DX2452" s="56"/>
      <c r="DY2452" s="56"/>
      <c r="DZ2452" s="56"/>
      <c r="EA2452" s="56"/>
      <c r="EB2452" s="56"/>
      <c r="EC2452" s="56"/>
      <c r="ED2452" s="56"/>
      <c r="EE2452" s="56"/>
      <c r="EF2452" s="56"/>
      <c r="EG2452" s="56"/>
      <c r="EH2452" s="56"/>
      <c r="EI2452" s="56"/>
      <c r="EJ2452" s="56"/>
      <c r="EK2452" s="56"/>
      <c r="EL2452" s="56"/>
      <c r="EM2452" s="56"/>
      <c r="EN2452" s="56"/>
      <c r="EO2452" s="56"/>
      <c r="EP2452" s="56"/>
      <c r="EQ2452" s="56"/>
      <c r="ER2452" s="56"/>
      <c r="ES2452" s="56"/>
      <c r="ET2452" s="56"/>
      <c r="EU2452" s="56"/>
      <c r="EV2452" s="56"/>
      <c r="EW2452" s="56"/>
      <c r="EX2452" s="56"/>
      <c r="EY2452" s="56"/>
      <c r="EZ2452" s="56"/>
      <c r="FA2452" s="56"/>
      <c r="FB2452" s="56"/>
      <c r="FC2452" s="56"/>
      <c r="FD2452" s="56"/>
      <c r="FE2452" s="56"/>
      <c r="FF2452" s="56"/>
      <c r="FG2452" s="56"/>
      <c r="FH2452" s="56"/>
      <c r="FI2452" s="56"/>
      <c r="FJ2452" s="56"/>
      <c r="FK2452" s="56"/>
      <c r="FL2452" s="56"/>
      <c r="FM2452" s="56"/>
      <c r="FN2452" s="56"/>
      <c r="FO2452" s="56"/>
      <c r="FP2452" s="56"/>
      <c r="FQ2452" s="56"/>
      <c r="FR2452" s="56"/>
      <c r="FS2452" s="56"/>
      <c r="FT2452" s="56"/>
      <c r="FU2452" s="56"/>
      <c r="FV2452" s="56"/>
      <c r="FW2452" s="56"/>
      <c r="FX2452" s="56"/>
      <c r="FY2452" s="56"/>
      <c r="FZ2452" s="56"/>
      <c r="GA2452" s="56"/>
      <c r="GB2452" s="56"/>
      <c r="GC2452" s="56"/>
      <c r="GD2452" s="56"/>
      <c r="GE2452" s="56"/>
      <c r="GF2452" s="56"/>
    </row>
    <row r="2453" spans="1:48" s="18" customFormat="1" ht="15.75" customHeight="1">
      <c r="A2453" s="50"/>
      <c r="B2453" s="93" t="s">
        <v>669</v>
      </c>
      <c r="C2453" s="16"/>
      <c r="D2453" s="52"/>
      <c r="E2453" s="52"/>
      <c r="F2453" s="52"/>
      <c r="G2453" s="52"/>
      <c r="H2453" s="52"/>
      <c r="I2453" s="52"/>
      <c r="J2453" s="52"/>
      <c r="K2453" s="52"/>
      <c r="L2453" s="60">
        <f>L2454</f>
        <v>5</v>
      </c>
      <c r="M2453" s="60">
        <f>M2454</f>
        <v>5</v>
      </c>
      <c r="N2453" s="60">
        <f>N2454</f>
        <v>5</v>
      </c>
      <c r="O2453" s="60">
        <f>O2454</f>
        <v>3</v>
      </c>
      <c r="P2453" s="60">
        <f>P2454</f>
        <v>4</v>
      </c>
      <c r="Q2453" s="23"/>
      <c r="R2453" s="23"/>
      <c r="S2453" s="17"/>
      <c r="T2453" s="47"/>
      <c r="U2453" s="47"/>
      <c r="V2453" s="47"/>
      <c r="W2453" s="47"/>
      <c r="X2453" s="47"/>
      <c r="Y2453" s="47"/>
      <c r="Z2453" s="47"/>
      <c r="AA2453" s="47"/>
      <c r="AB2453" s="47"/>
      <c r="AC2453" s="47"/>
      <c r="AD2453" s="47"/>
      <c r="AE2453" s="47"/>
      <c r="AF2453" s="47"/>
      <c r="AG2453" s="47"/>
      <c r="AH2453" s="47"/>
      <c r="AI2453" s="47"/>
      <c r="AJ2453" s="47"/>
      <c r="AK2453" s="47"/>
      <c r="AL2453" s="47"/>
      <c r="AM2453" s="47"/>
      <c r="AN2453" s="47"/>
      <c r="AO2453" s="47"/>
      <c r="AP2453" s="47"/>
      <c r="AQ2453" s="47"/>
      <c r="AR2453" s="47"/>
      <c r="AS2453" s="47"/>
      <c r="AT2453" s="47"/>
      <c r="AU2453" s="47"/>
      <c r="AV2453" s="47"/>
    </row>
    <row r="2454" spans="1:48" s="27" customFormat="1" ht="15.75" customHeight="1">
      <c r="A2454" s="12"/>
      <c r="B2454" s="97" t="s">
        <v>555</v>
      </c>
      <c r="C2454" s="29" t="s">
        <v>445</v>
      </c>
      <c r="D2454" s="51"/>
      <c r="E2454" s="51"/>
      <c r="F2454" s="51">
        <v>86</v>
      </c>
      <c r="G2454" s="51">
        <v>86</v>
      </c>
      <c r="H2454" s="51">
        <v>86</v>
      </c>
      <c r="I2454" s="51">
        <v>87</v>
      </c>
      <c r="J2454" s="51"/>
      <c r="K2454" s="51">
        <v>87</v>
      </c>
      <c r="L2454" s="40">
        <v>5</v>
      </c>
      <c r="M2454" s="40">
        <v>5</v>
      </c>
      <c r="N2454" s="40">
        <v>5</v>
      </c>
      <c r="O2454" s="40">
        <v>3</v>
      </c>
      <c r="P2454" s="40">
        <v>4</v>
      </c>
      <c r="Q2454" s="30"/>
      <c r="R2454" s="30"/>
      <c r="S2454" s="30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</row>
    <row r="2455" spans="1:48" s="18" customFormat="1" ht="15.75" customHeight="1">
      <c r="A2455" s="50"/>
      <c r="B2455" s="93" t="s">
        <v>37</v>
      </c>
      <c r="C2455" s="16"/>
      <c r="D2455" s="52"/>
      <c r="E2455" s="52"/>
      <c r="F2455" s="52"/>
      <c r="G2455" s="52"/>
      <c r="H2455" s="52"/>
      <c r="I2455" s="52"/>
      <c r="J2455" s="52"/>
      <c r="K2455" s="52"/>
      <c r="L2455" s="60">
        <f>SUM(L2456:L2457)</f>
        <v>1</v>
      </c>
      <c r="M2455" s="60" t="s">
        <v>556</v>
      </c>
      <c r="N2455" s="60">
        <f>SUM(N2456:N2457)</f>
        <v>2</v>
      </c>
      <c r="O2455" s="60" t="s">
        <v>556</v>
      </c>
      <c r="P2455" s="60">
        <f>SUM(P2456:P2457)</f>
        <v>1</v>
      </c>
      <c r="Q2455" s="23"/>
      <c r="R2455" s="23"/>
      <c r="S2455" s="17"/>
      <c r="T2455" s="47"/>
      <c r="U2455" s="47"/>
      <c r="V2455" s="47"/>
      <c r="W2455" s="47"/>
      <c r="X2455" s="47"/>
      <c r="Y2455" s="47"/>
      <c r="Z2455" s="47"/>
      <c r="AA2455" s="47"/>
      <c r="AB2455" s="47"/>
      <c r="AC2455" s="47"/>
      <c r="AD2455" s="47"/>
      <c r="AE2455" s="47"/>
      <c r="AF2455" s="47"/>
      <c r="AG2455" s="47"/>
      <c r="AH2455" s="47"/>
      <c r="AI2455" s="47"/>
      <c r="AJ2455" s="47"/>
      <c r="AK2455" s="47"/>
      <c r="AL2455" s="47"/>
      <c r="AM2455" s="47"/>
      <c r="AN2455" s="47"/>
      <c r="AO2455" s="47"/>
      <c r="AP2455" s="47"/>
      <c r="AQ2455" s="47"/>
      <c r="AR2455" s="47"/>
      <c r="AS2455" s="47"/>
      <c r="AT2455" s="47"/>
      <c r="AU2455" s="47"/>
      <c r="AV2455" s="47"/>
    </row>
    <row r="2456" spans="1:48" s="18" customFormat="1" ht="15.75" customHeight="1">
      <c r="A2456" s="50"/>
      <c r="B2456" s="97" t="s">
        <v>38</v>
      </c>
      <c r="C2456" s="64" t="s">
        <v>457</v>
      </c>
      <c r="D2456" s="51"/>
      <c r="E2456" s="51"/>
      <c r="F2456" s="52"/>
      <c r="G2456" s="51">
        <v>5</v>
      </c>
      <c r="H2456" s="51">
        <v>5</v>
      </c>
      <c r="I2456" s="51">
        <v>6</v>
      </c>
      <c r="J2456" s="51"/>
      <c r="K2456" s="51">
        <v>6</v>
      </c>
      <c r="L2456" s="40">
        <v>1</v>
      </c>
      <c r="M2456" s="40" t="s">
        <v>556</v>
      </c>
      <c r="N2456" s="40">
        <v>1</v>
      </c>
      <c r="O2456" s="40" t="s">
        <v>556</v>
      </c>
      <c r="P2456" s="40" t="s">
        <v>556</v>
      </c>
      <c r="Q2456" s="23"/>
      <c r="R2456" s="23"/>
      <c r="S2456" s="17"/>
      <c r="T2456" s="47"/>
      <c r="U2456" s="47"/>
      <c r="V2456" s="47"/>
      <c r="W2456" s="47"/>
      <c r="X2456" s="47"/>
      <c r="Y2456" s="47"/>
      <c r="Z2456" s="47"/>
      <c r="AA2456" s="47"/>
      <c r="AB2456" s="47"/>
      <c r="AC2456" s="47"/>
      <c r="AD2456" s="47"/>
      <c r="AE2456" s="47"/>
      <c r="AF2456" s="47"/>
      <c r="AG2456" s="47"/>
      <c r="AH2456" s="47"/>
      <c r="AI2456" s="47"/>
      <c r="AJ2456" s="47"/>
      <c r="AK2456" s="47"/>
      <c r="AL2456" s="47"/>
      <c r="AM2456" s="47"/>
      <c r="AN2456" s="47"/>
      <c r="AO2456" s="47"/>
      <c r="AP2456" s="47"/>
      <c r="AQ2456" s="47"/>
      <c r="AR2456" s="47"/>
      <c r="AS2456" s="47"/>
      <c r="AT2456" s="47"/>
      <c r="AU2456" s="47"/>
      <c r="AV2456" s="47"/>
    </row>
    <row r="2457" spans="1:48" s="27" customFormat="1" ht="15.75" customHeight="1">
      <c r="A2457" s="12"/>
      <c r="B2457" s="117" t="s">
        <v>114</v>
      </c>
      <c r="C2457" s="64" t="s">
        <v>113</v>
      </c>
      <c r="D2457" s="51"/>
      <c r="E2457" s="51"/>
      <c r="F2457" s="51">
        <v>6</v>
      </c>
      <c r="G2457" s="51">
        <v>4</v>
      </c>
      <c r="H2457" s="51">
        <v>4</v>
      </c>
      <c r="I2457" s="51">
        <v>4</v>
      </c>
      <c r="J2457" s="51"/>
      <c r="K2457" s="51">
        <v>4</v>
      </c>
      <c r="L2457" s="40" t="s">
        <v>556</v>
      </c>
      <c r="M2457" s="40" t="s">
        <v>556</v>
      </c>
      <c r="N2457" s="40">
        <v>1</v>
      </c>
      <c r="O2457" s="40" t="s">
        <v>556</v>
      </c>
      <c r="P2457" s="40">
        <v>1</v>
      </c>
      <c r="Q2457" s="33">
        <v>1</v>
      </c>
      <c r="R2457" s="28">
        <v>1</v>
      </c>
      <c r="S2457" s="28">
        <v>1</v>
      </c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</row>
    <row r="2458" spans="1:19" ht="13.5" customHeight="1">
      <c r="A2458" s="400" t="s">
        <v>909</v>
      </c>
      <c r="B2458" s="400"/>
      <c r="C2458" s="400"/>
      <c r="D2458" s="400"/>
      <c r="E2458" s="400"/>
      <c r="F2458" s="400"/>
      <c r="G2458" s="400"/>
      <c r="H2458" s="400"/>
      <c r="I2458" s="400"/>
      <c r="J2458" s="400"/>
      <c r="K2458" s="400"/>
      <c r="L2458" s="400"/>
      <c r="M2458" s="400"/>
      <c r="N2458" s="400"/>
      <c r="O2458" s="400"/>
      <c r="P2458" s="400"/>
      <c r="Q2458" s="21"/>
      <c r="R2458" s="21"/>
      <c r="S2458" s="8"/>
    </row>
    <row r="2459" spans="1:188" s="57" customFormat="1" ht="18" customHeight="1">
      <c r="A2459" s="13">
        <v>50</v>
      </c>
      <c r="B2459" s="108" t="s">
        <v>963</v>
      </c>
      <c r="C2459" s="45"/>
      <c r="D2459" s="44">
        <v>95</v>
      </c>
      <c r="E2459" s="44">
        <v>12</v>
      </c>
      <c r="F2459" s="44">
        <v>65</v>
      </c>
      <c r="G2459" s="44">
        <v>65</v>
      </c>
      <c r="H2459" s="44">
        <v>65</v>
      </c>
      <c r="I2459" s="44">
        <v>65</v>
      </c>
      <c r="J2459" s="44"/>
      <c r="K2459" s="44">
        <v>65</v>
      </c>
      <c r="L2459" s="44">
        <f>SUM(L2460,L2463,L2466)</f>
        <v>10</v>
      </c>
      <c r="M2459" s="44">
        <f>SUM(M2460,M2463,M2466)</f>
        <v>9</v>
      </c>
      <c r="N2459" s="44">
        <f>SUM(N2460,N2463,N2466)</f>
        <v>8</v>
      </c>
      <c r="O2459" s="44">
        <f>SUM(O2460,O2463,O2466)</f>
        <v>7</v>
      </c>
      <c r="P2459" s="44">
        <f>SUM(P2460,P2463,P2466)</f>
        <v>8</v>
      </c>
      <c r="Q2459" s="54" t="s">
        <v>648</v>
      </c>
      <c r="R2459" s="54">
        <v>16</v>
      </c>
      <c r="S2459" s="55" t="s">
        <v>577</v>
      </c>
      <c r="T2459" s="56"/>
      <c r="U2459" s="56"/>
      <c r="V2459" s="56"/>
      <c r="W2459" s="56"/>
      <c r="X2459" s="56"/>
      <c r="Y2459" s="56"/>
      <c r="Z2459" s="56"/>
      <c r="AA2459" s="56"/>
      <c r="AB2459" s="56"/>
      <c r="AC2459" s="56"/>
      <c r="AD2459" s="56"/>
      <c r="AE2459" s="56"/>
      <c r="AF2459" s="56"/>
      <c r="AG2459" s="56"/>
      <c r="AH2459" s="56"/>
      <c r="AI2459" s="56"/>
      <c r="AJ2459" s="56"/>
      <c r="AK2459" s="56"/>
      <c r="AL2459" s="56"/>
      <c r="AM2459" s="56"/>
      <c r="AN2459" s="56"/>
      <c r="AO2459" s="56"/>
      <c r="AP2459" s="56"/>
      <c r="AQ2459" s="56"/>
      <c r="AR2459" s="56"/>
      <c r="AS2459" s="56"/>
      <c r="AT2459" s="56"/>
      <c r="AU2459" s="56"/>
      <c r="AV2459" s="56"/>
      <c r="AW2459" s="56"/>
      <c r="AX2459" s="56"/>
      <c r="AY2459" s="56"/>
      <c r="AZ2459" s="56"/>
      <c r="BA2459" s="56"/>
      <c r="BB2459" s="56"/>
      <c r="BC2459" s="56"/>
      <c r="BD2459" s="56"/>
      <c r="BE2459" s="56"/>
      <c r="BF2459" s="56"/>
      <c r="BG2459" s="56"/>
      <c r="BH2459" s="56"/>
      <c r="BI2459" s="56"/>
      <c r="BJ2459" s="56"/>
      <c r="BK2459" s="56"/>
      <c r="BL2459" s="56"/>
      <c r="BM2459" s="56"/>
      <c r="BN2459" s="56"/>
      <c r="BO2459" s="56"/>
      <c r="BP2459" s="56"/>
      <c r="BQ2459" s="56"/>
      <c r="BR2459" s="56"/>
      <c r="BS2459" s="56"/>
      <c r="BT2459" s="56"/>
      <c r="BU2459" s="56"/>
      <c r="BV2459" s="56"/>
      <c r="BW2459" s="56"/>
      <c r="BX2459" s="56"/>
      <c r="BY2459" s="56"/>
      <c r="BZ2459" s="56"/>
      <c r="CA2459" s="56"/>
      <c r="CB2459" s="56"/>
      <c r="CC2459" s="56"/>
      <c r="CD2459" s="56"/>
      <c r="CE2459" s="56"/>
      <c r="CF2459" s="56"/>
      <c r="CG2459" s="56"/>
      <c r="CH2459" s="56"/>
      <c r="CI2459" s="56"/>
      <c r="CJ2459" s="56"/>
      <c r="CK2459" s="56"/>
      <c r="CL2459" s="56"/>
      <c r="CM2459" s="56"/>
      <c r="CN2459" s="56"/>
      <c r="CO2459" s="56"/>
      <c r="CP2459" s="56"/>
      <c r="CQ2459" s="56"/>
      <c r="CR2459" s="56"/>
      <c r="CS2459" s="56"/>
      <c r="CT2459" s="56"/>
      <c r="CU2459" s="56"/>
      <c r="CV2459" s="56"/>
      <c r="CW2459" s="56"/>
      <c r="CX2459" s="56"/>
      <c r="CY2459" s="56"/>
      <c r="CZ2459" s="56"/>
      <c r="DA2459" s="56"/>
      <c r="DB2459" s="56"/>
      <c r="DC2459" s="56"/>
      <c r="DD2459" s="56"/>
      <c r="DE2459" s="56"/>
      <c r="DF2459" s="56"/>
      <c r="DG2459" s="56"/>
      <c r="DH2459" s="56"/>
      <c r="DI2459" s="56"/>
      <c r="DJ2459" s="56"/>
      <c r="DK2459" s="56"/>
      <c r="DL2459" s="56"/>
      <c r="DM2459" s="56"/>
      <c r="DN2459" s="56"/>
      <c r="DO2459" s="56"/>
      <c r="DP2459" s="56"/>
      <c r="DQ2459" s="56"/>
      <c r="DR2459" s="56"/>
      <c r="DS2459" s="56"/>
      <c r="DT2459" s="56"/>
      <c r="DU2459" s="56"/>
      <c r="DV2459" s="56"/>
      <c r="DW2459" s="56"/>
      <c r="DX2459" s="56"/>
      <c r="DY2459" s="56"/>
      <c r="DZ2459" s="56"/>
      <c r="EA2459" s="56"/>
      <c r="EB2459" s="56"/>
      <c r="EC2459" s="56"/>
      <c r="ED2459" s="56"/>
      <c r="EE2459" s="56"/>
      <c r="EF2459" s="56"/>
      <c r="EG2459" s="56"/>
      <c r="EH2459" s="56"/>
      <c r="EI2459" s="56"/>
      <c r="EJ2459" s="56"/>
      <c r="EK2459" s="56"/>
      <c r="EL2459" s="56"/>
      <c r="EM2459" s="56"/>
      <c r="EN2459" s="56"/>
      <c r="EO2459" s="56"/>
      <c r="EP2459" s="56"/>
      <c r="EQ2459" s="56"/>
      <c r="ER2459" s="56"/>
      <c r="ES2459" s="56"/>
      <c r="ET2459" s="56"/>
      <c r="EU2459" s="56"/>
      <c r="EV2459" s="56"/>
      <c r="EW2459" s="56"/>
      <c r="EX2459" s="56"/>
      <c r="EY2459" s="56"/>
      <c r="EZ2459" s="56"/>
      <c r="FA2459" s="56"/>
      <c r="FB2459" s="56"/>
      <c r="FC2459" s="56"/>
      <c r="FD2459" s="56"/>
      <c r="FE2459" s="56"/>
      <c r="FF2459" s="56"/>
      <c r="FG2459" s="56"/>
      <c r="FH2459" s="56"/>
      <c r="FI2459" s="56"/>
      <c r="FJ2459" s="56"/>
      <c r="FK2459" s="56"/>
      <c r="FL2459" s="56"/>
      <c r="FM2459" s="56"/>
      <c r="FN2459" s="56"/>
      <c r="FO2459" s="56"/>
      <c r="FP2459" s="56"/>
      <c r="FQ2459" s="56"/>
      <c r="FR2459" s="56"/>
      <c r="FS2459" s="56"/>
      <c r="FT2459" s="56"/>
      <c r="FU2459" s="56"/>
      <c r="FV2459" s="56"/>
      <c r="FW2459" s="56"/>
      <c r="FX2459" s="56"/>
      <c r="FY2459" s="56"/>
      <c r="FZ2459" s="56"/>
      <c r="GA2459" s="56"/>
      <c r="GB2459" s="56"/>
      <c r="GC2459" s="56"/>
      <c r="GD2459" s="56"/>
      <c r="GE2459" s="56"/>
      <c r="GF2459" s="56"/>
    </row>
    <row r="2460" spans="1:48" s="18" customFormat="1" ht="17.25" customHeight="1">
      <c r="A2460" s="50"/>
      <c r="B2460" s="93" t="s">
        <v>669</v>
      </c>
      <c r="C2460" s="16"/>
      <c r="D2460" s="52"/>
      <c r="E2460" s="52"/>
      <c r="F2460" s="52"/>
      <c r="G2460" s="52"/>
      <c r="H2460" s="52"/>
      <c r="I2460" s="52"/>
      <c r="J2460" s="52"/>
      <c r="K2460" s="52"/>
      <c r="L2460" s="60">
        <f>SUM(L2461:L2462)</f>
        <v>8</v>
      </c>
      <c r="M2460" s="60">
        <f>SUM(M2461:M2462)</f>
        <v>7</v>
      </c>
      <c r="N2460" s="60">
        <f>SUM(N2461:N2462)</f>
        <v>7</v>
      </c>
      <c r="O2460" s="60">
        <f>SUM(O2461:O2462)</f>
        <v>6</v>
      </c>
      <c r="P2460" s="60">
        <f>SUM(P2461:P2462)</f>
        <v>5</v>
      </c>
      <c r="Q2460" s="23"/>
      <c r="R2460" s="23"/>
      <c r="S2460" s="17"/>
      <c r="T2460" s="47"/>
      <c r="U2460" s="47"/>
      <c r="V2460" s="47"/>
      <c r="W2460" s="47"/>
      <c r="X2460" s="47"/>
      <c r="Y2460" s="47"/>
      <c r="Z2460" s="47"/>
      <c r="AA2460" s="47"/>
      <c r="AB2460" s="47"/>
      <c r="AC2460" s="47"/>
      <c r="AD2460" s="47"/>
      <c r="AE2460" s="47"/>
      <c r="AF2460" s="47"/>
      <c r="AG2460" s="47"/>
      <c r="AH2460" s="47"/>
      <c r="AI2460" s="47"/>
      <c r="AJ2460" s="47"/>
      <c r="AK2460" s="47"/>
      <c r="AL2460" s="47"/>
      <c r="AM2460" s="47"/>
      <c r="AN2460" s="47"/>
      <c r="AO2460" s="47"/>
      <c r="AP2460" s="47"/>
      <c r="AQ2460" s="47"/>
      <c r="AR2460" s="47"/>
      <c r="AS2460" s="47"/>
      <c r="AT2460" s="47"/>
      <c r="AU2460" s="47"/>
      <c r="AV2460" s="47"/>
    </row>
    <row r="2461" spans="1:48" s="27" customFormat="1" ht="17.25" customHeight="1">
      <c r="A2461" s="12"/>
      <c r="B2461" s="97" t="s">
        <v>411</v>
      </c>
      <c r="C2461" s="29" t="s">
        <v>412</v>
      </c>
      <c r="D2461" s="51"/>
      <c r="E2461" s="51"/>
      <c r="F2461" s="51">
        <v>10</v>
      </c>
      <c r="G2461" s="51">
        <v>10</v>
      </c>
      <c r="H2461" s="51">
        <v>10</v>
      </c>
      <c r="I2461" s="51">
        <v>10</v>
      </c>
      <c r="J2461" s="51"/>
      <c r="K2461" s="51">
        <v>10</v>
      </c>
      <c r="L2461" s="40">
        <v>3</v>
      </c>
      <c r="M2461" s="40">
        <v>3</v>
      </c>
      <c r="N2461" s="40">
        <v>3</v>
      </c>
      <c r="O2461" s="40">
        <v>2</v>
      </c>
      <c r="P2461" s="40">
        <v>1</v>
      </c>
      <c r="Q2461" s="30"/>
      <c r="R2461" s="30"/>
      <c r="S2461" s="30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</row>
    <row r="2462" spans="1:48" s="27" customFormat="1" ht="17.25" customHeight="1">
      <c r="A2462" s="12"/>
      <c r="B2462" s="97" t="s">
        <v>458</v>
      </c>
      <c r="C2462" s="29" t="s">
        <v>459</v>
      </c>
      <c r="D2462" s="51"/>
      <c r="E2462" s="51"/>
      <c r="F2462" s="51"/>
      <c r="G2462" s="51"/>
      <c r="H2462" s="51"/>
      <c r="I2462" s="51"/>
      <c r="J2462" s="51"/>
      <c r="K2462" s="51"/>
      <c r="L2462" s="40">
        <v>5</v>
      </c>
      <c r="M2462" s="40">
        <v>4</v>
      </c>
      <c r="N2462" s="40">
        <v>4</v>
      </c>
      <c r="O2462" s="40">
        <v>4</v>
      </c>
      <c r="P2462" s="40">
        <v>4</v>
      </c>
      <c r="Q2462" s="30"/>
      <c r="R2462" s="30"/>
      <c r="S2462" s="30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</row>
    <row r="2463" spans="1:48" s="18" customFormat="1" ht="19.5" customHeight="1">
      <c r="A2463" s="50"/>
      <c r="B2463" s="93" t="s">
        <v>670</v>
      </c>
      <c r="C2463" s="16"/>
      <c r="D2463" s="52"/>
      <c r="E2463" s="52"/>
      <c r="F2463" s="52"/>
      <c r="G2463" s="52"/>
      <c r="H2463" s="52"/>
      <c r="I2463" s="52"/>
      <c r="J2463" s="52"/>
      <c r="K2463" s="52"/>
      <c r="L2463" s="60">
        <f>SUM(L2464:L2465)</f>
        <v>2</v>
      </c>
      <c r="M2463" s="60">
        <f>SUM(M2464:M2465)</f>
        <v>1</v>
      </c>
      <c r="N2463" s="60">
        <f>SUM(N2464:N2465)</f>
        <v>1</v>
      </c>
      <c r="O2463" s="60" t="s">
        <v>556</v>
      </c>
      <c r="P2463" s="60">
        <f>SUM(P2464:P2465)</f>
        <v>2</v>
      </c>
      <c r="Q2463" s="23"/>
      <c r="R2463" s="23"/>
      <c r="S2463" s="17"/>
      <c r="T2463" s="47"/>
      <c r="U2463" s="47"/>
      <c r="V2463" s="47"/>
      <c r="W2463" s="47"/>
      <c r="X2463" s="47"/>
      <c r="Y2463" s="47"/>
      <c r="Z2463" s="47"/>
      <c r="AA2463" s="47"/>
      <c r="AB2463" s="47"/>
      <c r="AC2463" s="47"/>
      <c r="AD2463" s="47"/>
      <c r="AE2463" s="47"/>
      <c r="AF2463" s="47"/>
      <c r="AG2463" s="47"/>
      <c r="AH2463" s="47"/>
      <c r="AI2463" s="47"/>
      <c r="AJ2463" s="47"/>
      <c r="AK2463" s="47"/>
      <c r="AL2463" s="47"/>
      <c r="AM2463" s="47"/>
      <c r="AN2463" s="47"/>
      <c r="AO2463" s="47"/>
      <c r="AP2463" s="47"/>
      <c r="AQ2463" s="47"/>
      <c r="AR2463" s="47"/>
      <c r="AS2463" s="47"/>
      <c r="AT2463" s="47"/>
      <c r="AU2463" s="47"/>
      <c r="AV2463" s="47"/>
    </row>
    <row r="2464" spans="1:48" s="27" customFormat="1" ht="17.25" customHeight="1">
      <c r="A2464" s="12"/>
      <c r="B2464" s="97" t="s">
        <v>403</v>
      </c>
      <c r="C2464" s="29" t="s">
        <v>404</v>
      </c>
      <c r="D2464" s="51"/>
      <c r="E2464" s="51"/>
      <c r="F2464" s="51"/>
      <c r="G2464" s="51"/>
      <c r="H2464" s="51"/>
      <c r="I2464" s="51"/>
      <c r="J2464" s="51"/>
      <c r="K2464" s="51"/>
      <c r="L2464" s="40">
        <v>1</v>
      </c>
      <c r="M2464" s="40">
        <v>1</v>
      </c>
      <c r="N2464" s="40" t="s">
        <v>556</v>
      </c>
      <c r="O2464" s="40" t="s">
        <v>556</v>
      </c>
      <c r="P2464" s="40">
        <v>1</v>
      </c>
      <c r="Q2464" s="33">
        <v>1</v>
      </c>
      <c r="R2464" s="28">
        <v>1</v>
      </c>
      <c r="S2464" s="28">
        <v>1</v>
      </c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</row>
    <row r="2465" spans="1:48" s="27" customFormat="1" ht="17.25" customHeight="1">
      <c r="A2465" s="12"/>
      <c r="B2465" s="97" t="s">
        <v>561</v>
      </c>
      <c r="C2465" s="66" t="s">
        <v>804</v>
      </c>
      <c r="D2465" s="51"/>
      <c r="E2465" s="51"/>
      <c r="F2465" s="51"/>
      <c r="G2465" s="51"/>
      <c r="H2465" s="51"/>
      <c r="I2465" s="51"/>
      <c r="J2465" s="51"/>
      <c r="K2465" s="51"/>
      <c r="L2465" s="40">
        <v>1</v>
      </c>
      <c r="M2465" s="40" t="s">
        <v>556</v>
      </c>
      <c r="N2465" s="40">
        <v>1</v>
      </c>
      <c r="O2465" s="40" t="s">
        <v>556</v>
      </c>
      <c r="P2465" s="40">
        <v>1</v>
      </c>
      <c r="Q2465" s="33"/>
      <c r="R2465" s="33"/>
      <c r="S2465" s="33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</row>
    <row r="2466" spans="1:48" s="18" customFormat="1" ht="17.25" customHeight="1">
      <c r="A2466" s="50"/>
      <c r="B2466" s="93" t="s">
        <v>37</v>
      </c>
      <c r="C2466" s="16"/>
      <c r="D2466" s="52"/>
      <c r="E2466" s="52"/>
      <c r="F2466" s="52"/>
      <c r="G2466" s="52"/>
      <c r="H2466" s="52"/>
      <c r="I2466" s="52"/>
      <c r="J2466" s="52"/>
      <c r="K2466" s="52"/>
      <c r="L2466" s="60" t="str">
        <f>L2467</f>
        <v> -</v>
      </c>
      <c r="M2466" s="60">
        <f>M2467</f>
        <v>1</v>
      </c>
      <c r="N2466" s="60" t="str">
        <f>N2467</f>
        <v> -</v>
      </c>
      <c r="O2466" s="60">
        <f>O2467</f>
        <v>1</v>
      </c>
      <c r="P2466" s="60">
        <f>P2467</f>
        <v>1</v>
      </c>
      <c r="Q2466" s="23"/>
      <c r="R2466" s="23"/>
      <c r="S2466" s="17"/>
      <c r="T2466" s="47"/>
      <c r="U2466" s="47"/>
      <c r="V2466" s="47"/>
      <c r="W2466" s="47"/>
      <c r="X2466" s="47"/>
      <c r="Y2466" s="47"/>
      <c r="Z2466" s="47"/>
      <c r="AA2466" s="47"/>
      <c r="AB2466" s="47"/>
      <c r="AC2466" s="47"/>
      <c r="AD2466" s="47"/>
      <c r="AE2466" s="47"/>
      <c r="AF2466" s="47"/>
      <c r="AG2466" s="47"/>
      <c r="AH2466" s="47"/>
      <c r="AI2466" s="47"/>
      <c r="AJ2466" s="47"/>
      <c r="AK2466" s="47"/>
      <c r="AL2466" s="47"/>
      <c r="AM2466" s="47"/>
      <c r="AN2466" s="47"/>
      <c r="AO2466" s="47"/>
      <c r="AP2466" s="47"/>
      <c r="AQ2466" s="47"/>
      <c r="AR2466" s="47"/>
      <c r="AS2466" s="47"/>
      <c r="AT2466" s="47"/>
      <c r="AU2466" s="47"/>
      <c r="AV2466" s="47"/>
    </row>
    <row r="2467" spans="1:48" s="18" customFormat="1" ht="17.25" customHeight="1">
      <c r="A2467" s="50"/>
      <c r="B2467" s="97" t="s">
        <v>38</v>
      </c>
      <c r="C2467" s="64" t="s">
        <v>457</v>
      </c>
      <c r="D2467" s="51"/>
      <c r="E2467" s="51"/>
      <c r="F2467" s="52"/>
      <c r="G2467" s="51"/>
      <c r="H2467" s="51"/>
      <c r="I2467" s="51"/>
      <c r="J2467" s="51"/>
      <c r="K2467" s="51"/>
      <c r="L2467" s="40" t="s">
        <v>556</v>
      </c>
      <c r="M2467" s="40">
        <v>1</v>
      </c>
      <c r="N2467" s="40" t="s">
        <v>556</v>
      </c>
      <c r="O2467" s="40">
        <v>1</v>
      </c>
      <c r="P2467" s="40">
        <v>1</v>
      </c>
      <c r="Q2467" s="23"/>
      <c r="R2467" s="23"/>
      <c r="S2467" s="17"/>
      <c r="T2467" s="47"/>
      <c r="U2467" s="47"/>
      <c r="V2467" s="47"/>
      <c r="W2467" s="47"/>
      <c r="X2467" s="47"/>
      <c r="Y2467" s="47"/>
      <c r="Z2467" s="47"/>
      <c r="AA2467" s="47"/>
      <c r="AB2467" s="47"/>
      <c r="AC2467" s="47"/>
      <c r="AD2467" s="47"/>
      <c r="AE2467" s="47"/>
      <c r="AF2467" s="47"/>
      <c r="AG2467" s="47"/>
      <c r="AH2467" s="47"/>
      <c r="AI2467" s="47"/>
      <c r="AJ2467" s="47"/>
      <c r="AK2467" s="47"/>
      <c r="AL2467" s="47"/>
      <c r="AM2467" s="47"/>
      <c r="AN2467" s="47"/>
      <c r="AO2467" s="47"/>
      <c r="AP2467" s="47"/>
      <c r="AQ2467" s="47"/>
      <c r="AR2467" s="47"/>
      <c r="AS2467" s="47"/>
      <c r="AT2467" s="47"/>
      <c r="AU2467" s="47"/>
      <c r="AV2467" s="47"/>
    </row>
    <row r="2468" spans="1:19" ht="23.25" customHeight="1">
      <c r="A2468" s="401" t="s">
        <v>624</v>
      </c>
      <c r="B2468" s="401"/>
      <c r="C2468" s="401"/>
      <c r="D2468" s="401"/>
      <c r="E2468" s="401"/>
      <c r="F2468" s="401"/>
      <c r="G2468" s="401"/>
      <c r="H2468" s="401"/>
      <c r="I2468" s="401"/>
      <c r="J2468" s="401"/>
      <c r="K2468" s="401"/>
      <c r="L2468" s="401"/>
      <c r="M2468" s="401"/>
      <c r="N2468" s="401"/>
      <c r="O2468" s="401"/>
      <c r="P2468" s="401"/>
      <c r="Q2468" s="20"/>
      <c r="R2468" s="20"/>
      <c r="S2468" s="9"/>
    </row>
    <row r="2469" spans="1:19" ht="15" customHeight="1">
      <c r="A2469" s="399" t="s">
        <v>650</v>
      </c>
      <c r="B2469" s="399"/>
      <c r="C2469" s="399"/>
      <c r="D2469" s="399"/>
      <c r="E2469" s="399"/>
      <c r="F2469" s="399"/>
      <c r="G2469" s="399"/>
      <c r="H2469" s="399"/>
      <c r="I2469" s="399"/>
      <c r="J2469" s="399"/>
      <c r="K2469" s="399"/>
      <c r="L2469" s="399"/>
      <c r="M2469" s="399"/>
      <c r="N2469" s="399"/>
      <c r="O2469" s="399"/>
      <c r="P2469" s="399"/>
      <c r="Q2469" s="20"/>
      <c r="R2469" s="20"/>
      <c r="S2469" s="7"/>
    </row>
    <row r="2470" spans="1:19" ht="13.5" customHeight="1">
      <c r="A2470" s="400" t="s">
        <v>676</v>
      </c>
      <c r="B2470" s="400"/>
      <c r="C2470" s="400"/>
      <c r="D2470" s="400"/>
      <c r="E2470" s="400"/>
      <c r="F2470" s="400"/>
      <c r="G2470" s="400"/>
      <c r="H2470" s="400"/>
      <c r="I2470" s="400"/>
      <c r="J2470" s="400"/>
      <c r="K2470" s="400"/>
      <c r="L2470" s="400"/>
      <c r="M2470" s="400"/>
      <c r="N2470" s="400"/>
      <c r="O2470" s="400"/>
      <c r="P2470" s="400"/>
      <c r="Q2470" s="21"/>
      <c r="R2470" s="21"/>
      <c r="S2470" s="8"/>
    </row>
    <row r="2471" spans="1:188" s="57" customFormat="1" ht="18" customHeight="1">
      <c r="A2471" s="13">
        <v>1</v>
      </c>
      <c r="B2471" s="92" t="s">
        <v>371</v>
      </c>
      <c r="C2471" s="45"/>
      <c r="D2471" s="44">
        <v>184</v>
      </c>
      <c r="E2471" s="44">
        <v>46</v>
      </c>
      <c r="F2471" s="44">
        <v>14</v>
      </c>
      <c r="G2471" s="44">
        <v>222</v>
      </c>
      <c r="H2471" s="44">
        <v>222</v>
      </c>
      <c r="I2471" s="44">
        <v>222</v>
      </c>
      <c r="J2471" s="44"/>
      <c r="K2471" s="44">
        <v>222</v>
      </c>
      <c r="L2471" s="44">
        <f>SUM(L2472,L2476,L2478)</f>
        <v>31</v>
      </c>
      <c r="M2471" s="44" t="s">
        <v>556</v>
      </c>
      <c r="N2471" s="44" t="s">
        <v>556</v>
      </c>
      <c r="O2471" s="44" t="s">
        <v>556</v>
      </c>
      <c r="P2471" s="44" t="s">
        <v>556</v>
      </c>
      <c r="Q2471" s="54" t="s">
        <v>649</v>
      </c>
      <c r="R2471" s="54">
        <v>1</v>
      </c>
      <c r="S2471" s="55" t="s">
        <v>666</v>
      </c>
      <c r="T2471" s="56"/>
      <c r="U2471" s="56"/>
      <c r="V2471" s="56"/>
      <c r="W2471" s="56"/>
      <c r="X2471" s="56"/>
      <c r="Y2471" s="56"/>
      <c r="Z2471" s="56"/>
      <c r="AA2471" s="56"/>
      <c r="AB2471" s="56"/>
      <c r="AC2471" s="56"/>
      <c r="AD2471" s="56"/>
      <c r="AE2471" s="56"/>
      <c r="AF2471" s="56"/>
      <c r="AG2471" s="56"/>
      <c r="AH2471" s="56"/>
      <c r="AI2471" s="56"/>
      <c r="AJ2471" s="56"/>
      <c r="AK2471" s="56"/>
      <c r="AL2471" s="56"/>
      <c r="AM2471" s="56"/>
      <c r="AN2471" s="56"/>
      <c r="AO2471" s="56"/>
      <c r="AP2471" s="56"/>
      <c r="AQ2471" s="56"/>
      <c r="AR2471" s="56"/>
      <c r="AS2471" s="56"/>
      <c r="AT2471" s="56"/>
      <c r="AU2471" s="56"/>
      <c r="AV2471" s="56"/>
      <c r="AW2471" s="56"/>
      <c r="AX2471" s="56"/>
      <c r="AY2471" s="56"/>
      <c r="AZ2471" s="56"/>
      <c r="BA2471" s="56"/>
      <c r="BB2471" s="56"/>
      <c r="BC2471" s="56"/>
      <c r="BD2471" s="56"/>
      <c r="BE2471" s="56"/>
      <c r="BF2471" s="56"/>
      <c r="BG2471" s="56"/>
      <c r="BH2471" s="56"/>
      <c r="BI2471" s="56"/>
      <c r="BJ2471" s="56"/>
      <c r="BK2471" s="56"/>
      <c r="BL2471" s="56"/>
      <c r="BM2471" s="56"/>
      <c r="BN2471" s="56"/>
      <c r="BO2471" s="56"/>
      <c r="BP2471" s="56"/>
      <c r="BQ2471" s="56"/>
      <c r="BR2471" s="56"/>
      <c r="BS2471" s="56"/>
      <c r="BT2471" s="56"/>
      <c r="BU2471" s="56"/>
      <c r="BV2471" s="56"/>
      <c r="BW2471" s="56"/>
      <c r="BX2471" s="56"/>
      <c r="BY2471" s="56"/>
      <c r="BZ2471" s="56"/>
      <c r="CA2471" s="56"/>
      <c r="CB2471" s="56"/>
      <c r="CC2471" s="56"/>
      <c r="CD2471" s="56"/>
      <c r="CE2471" s="56"/>
      <c r="CF2471" s="56"/>
      <c r="CG2471" s="56"/>
      <c r="CH2471" s="56"/>
      <c r="CI2471" s="56"/>
      <c r="CJ2471" s="56"/>
      <c r="CK2471" s="56"/>
      <c r="CL2471" s="56"/>
      <c r="CM2471" s="56"/>
      <c r="CN2471" s="56"/>
      <c r="CO2471" s="56"/>
      <c r="CP2471" s="56"/>
      <c r="CQ2471" s="56"/>
      <c r="CR2471" s="56"/>
      <c r="CS2471" s="56"/>
      <c r="CT2471" s="56"/>
      <c r="CU2471" s="56"/>
      <c r="CV2471" s="56"/>
      <c r="CW2471" s="56"/>
      <c r="CX2471" s="56"/>
      <c r="CY2471" s="56"/>
      <c r="CZ2471" s="56"/>
      <c r="DA2471" s="56"/>
      <c r="DB2471" s="56"/>
      <c r="DC2471" s="56"/>
      <c r="DD2471" s="56"/>
      <c r="DE2471" s="56"/>
      <c r="DF2471" s="56"/>
      <c r="DG2471" s="56"/>
      <c r="DH2471" s="56"/>
      <c r="DI2471" s="56"/>
      <c r="DJ2471" s="56"/>
      <c r="DK2471" s="56"/>
      <c r="DL2471" s="56"/>
      <c r="DM2471" s="56"/>
      <c r="DN2471" s="56"/>
      <c r="DO2471" s="56"/>
      <c r="DP2471" s="56"/>
      <c r="DQ2471" s="56"/>
      <c r="DR2471" s="56"/>
      <c r="DS2471" s="56"/>
      <c r="DT2471" s="56"/>
      <c r="DU2471" s="56"/>
      <c r="DV2471" s="56"/>
      <c r="DW2471" s="56"/>
      <c r="DX2471" s="56"/>
      <c r="DY2471" s="56"/>
      <c r="DZ2471" s="56"/>
      <c r="EA2471" s="56"/>
      <c r="EB2471" s="56"/>
      <c r="EC2471" s="56"/>
      <c r="ED2471" s="56"/>
      <c r="EE2471" s="56"/>
      <c r="EF2471" s="56"/>
      <c r="EG2471" s="56"/>
      <c r="EH2471" s="56"/>
      <c r="EI2471" s="56"/>
      <c r="EJ2471" s="56"/>
      <c r="EK2471" s="56"/>
      <c r="EL2471" s="56"/>
      <c r="EM2471" s="56"/>
      <c r="EN2471" s="56"/>
      <c r="EO2471" s="56"/>
      <c r="EP2471" s="56"/>
      <c r="EQ2471" s="56"/>
      <c r="ER2471" s="56"/>
      <c r="ES2471" s="56"/>
      <c r="ET2471" s="56"/>
      <c r="EU2471" s="56"/>
      <c r="EV2471" s="56"/>
      <c r="EW2471" s="56"/>
      <c r="EX2471" s="56"/>
      <c r="EY2471" s="56"/>
      <c r="EZ2471" s="56"/>
      <c r="FA2471" s="56"/>
      <c r="FB2471" s="56"/>
      <c r="FC2471" s="56"/>
      <c r="FD2471" s="56"/>
      <c r="FE2471" s="56"/>
      <c r="FF2471" s="56"/>
      <c r="FG2471" s="56"/>
      <c r="FH2471" s="56"/>
      <c r="FI2471" s="56"/>
      <c r="FJ2471" s="56"/>
      <c r="FK2471" s="56"/>
      <c r="FL2471" s="56"/>
      <c r="FM2471" s="56"/>
      <c r="FN2471" s="56"/>
      <c r="FO2471" s="56"/>
      <c r="FP2471" s="56"/>
      <c r="FQ2471" s="56"/>
      <c r="FR2471" s="56"/>
      <c r="FS2471" s="56"/>
      <c r="FT2471" s="56"/>
      <c r="FU2471" s="56"/>
      <c r="FV2471" s="56"/>
      <c r="FW2471" s="56"/>
      <c r="FX2471" s="56"/>
      <c r="FY2471" s="56"/>
      <c r="FZ2471" s="56"/>
      <c r="GA2471" s="56"/>
      <c r="GB2471" s="56"/>
      <c r="GC2471" s="56"/>
      <c r="GD2471" s="56"/>
      <c r="GE2471" s="56"/>
      <c r="GF2471" s="56"/>
    </row>
    <row r="2472" spans="1:48" s="18" customFormat="1" ht="18.75" customHeight="1">
      <c r="A2472" s="50"/>
      <c r="B2472" s="93" t="s">
        <v>669</v>
      </c>
      <c r="C2472" s="16"/>
      <c r="D2472" s="52"/>
      <c r="E2472" s="52"/>
      <c r="F2472" s="52"/>
      <c r="G2472" s="52"/>
      <c r="H2472" s="52"/>
      <c r="I2472" s="52"/>
      <c r="J2472" s="52"/>
      <c r="K2472" s="52"/>
      <c r="L2472" s="60">
        <f>SUM(L2473:L2475)</f>
        <v>20</v>
      </c>
      <c r="M2472" s="60" t="str">
        <f>M2473</f>
        <v> -</v>
      </c>
      <c r="N2472" s="60"/>
      <c r="O2472" s="60" t="str">
        <f>O2473</f>
        <v> -</v>
      </c>
      <c r="P2472" s="60" t="str">
        <f>P2473</f>
        <v> -</v>
      </c>
      <c r="Q2472" s="23"/>
      <c r="R2472" s="23"/>
      <c r="S2472" s="17"/>
      <c r="T2472" s="47"/>
      <c r="U2472" s="47"/>
      <c r="V2472" s="47"/>
      <c r="W2472" s="47"/>
      <c r="X2472" s="47"/>
      <c r="Y2472" s="47"/>
      <c r="Z2472" s="47"/>
      <c r="AA2472" s="47"/>
      <c r="AB2472" s="47"/>
      <c r="AC2472" s="47"/>
      <c r="AD2472" s="47"/>
      <c r="AE2472" s="47"/>
      <c r="AF2472" s="47"/>
      <c r="AG2472" s="47"/>
      <c r="AH2472" s="47"/>
      <c r="AI2472" s="47"/>
      <c r="AJ2472" s="47"/>
      <c r="AK2472" s="47"/>
      <c r="AL2472" s="47"/>
      <c r="AM2472" s="47"/>
      <c r="AN2472" s="47"/>
      <c r="AO2472" s="47"/>
      <c r="AP2472" s="47"/>
      <c r="AQ2472" s="47"/>
      <c r="AR2472" s="47"/>
      <c r="AS2472" s="47"/>
      <c r="AT2472" s="47"/>
      <c r="AU2472" s="47"/>
      <c r="AV2472" s="47"/>
    </row>
    <row r="2473" spans="1:48" s="27" customFormat="1" ht="18.75" customHeight="1">
      <c r="A2473" s="12"/>
      <c r="B2473" s="97" t="s">
        <v>560</v>
      </c>
      <c r="C2473" s="29" t="s">
        <v>1319</v>
      </c>
      <c r="D2473" s="51"/>
      <c r="E2473" s="51"/>
      <c r="F2473" s="51">
        <v>1</v>
      </c>
      <c r="G2473" s="51">
        <v>4</v>
      </c>
      <c r="H2473" s="51">
        <v>4</v>
      </c>
      <c r="I2473" s="51">
        <v>4</v>
      </c>
      <c r="J2473" s="51"/>
      <c r="K2473" s="51">
        <v>4</v>
      </c>
      <c r="L2473" s="40">
        <v>16</v>
      </c>
      <c r="M2473" s="40" t="s">
        <v>556</v>
      </c>
      <c r="N2473" s="40" t="s">
        <v>556</v>
      </c>
      <c r="O2473" s="40" t="s">
        <v>556</v>
      </c>
      <c r="P2473" s="40" t="s">
        <v>556</v>
      </c>
      <c r="Q2473" s="30"/>
      <c r="R2473" s="30"/>
      <c r="S2473" s="30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</row>
    <row r="2474" spans="1:48" s="27" customFormat="1" ht="18.75" customHeight="1">
      <c r="A2474" s="12"/>
      <c r="B2474" s="97" t="s">
        <v>1316</v>
      </c>
      <c r="C2474" s="29" t="s">
        <v>1317</v>
      </c>
      <c r="D2474" s="51"/>
      <c r="E2474" s="51"/>
      <c r="F2474" s="51"/>
      <c r="G2474" s="51"/>
      <c r="H2474" s="51"/>
      <c r="I2474" s="51"/>
      <c r="J2474" s="51"/>
      <c r="K2474" s="51"/>
      <c r="L2474" s="40">
        <v>2</v>
      </c>
      <c r="M2474" s="40" t="s">
        <v>556</v>
      </c>
      <c r="N2474" s="40" t="s">
        <v>556</v>
      </c>
      <c r="O2474" s="40" t="s">
        <v>556</v>
      </c>
      <c r="P2474" s="40" t="s">
        <v>556</v>
      </c>
      <c r="Q2474" s="30"/>
      <c r="R2474" s="30"/>
      <c r="S2474" s="30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</row>
    <row r="2475" spans="1:48" s="27" customFormat="1" ht="18.75" customHeight="1">
      <c r="A2475" s="12"/>
      <c r="B2475" s="97" t="s">
        <v>562</v>
      </c>
      <c r="C2475" s="29" t="s">
        <v>563</v>
      </c>
      <c r="D2475" s="51"/>
      <c r="E2475" s="51"/>
      <c r="F2475" s="51"/>
      <c r="G2475" s="51"/>
      <c r="H2475" s="51"/>
      <c r="I2475" s="51"/>
      <c r="J2475" s="51"/>
      <c r="K2475" s="51"/>
      <c r="L2475" s="40">
        <v>2</v>
      </c>
      <c r="M2475" s="40" t="s">
        <v>556</v>
      </c>
      <c r="N2475" s="40" t="s">
        <v>556</v>
      </c>
      <c r="O2475" s="40" t="s">
        <v>556</v>
      </c>
      <c r="P2475" s="40" t="s">
        <v>556</v>
      </c>
      <c r="Q2475" s="30"/>
      <c r="R2475" s="30"/>
      <c r="S2475" s="30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</row>
    <row r="2476" spans="1:48" s="27" customFormat="1" ht="18.75" customHeight="1">
      <c r="A2476" s="12"/>
      <c r="B2476" s="93" t="s">
        <v>670</v>
      </c>
      <c r="C2476" s="16"/>
      <c r="D2476" s="52"/>
      <c r="E2476" s="52"/>
      <c r="F2476" s="52"/>
      <c r="G2476" s="52"/>
      <c r="H2476" s="52"/>
      <c r="I2476" s="52"/>
      <c r="J2476" s="52"/>
      <c r="K2476" s="52"/>
      <c r="L2476" s="60">
        <f>L2477</f>
        <v>2</v>
      </c>
      <c r="M2476" s="60" t="str">
        <f>M2477</f>
        <v> -</v>
      </c>
      <c r="N2476" s="60"/>
      <c r="O2476" s="60" t="str">
        <f>O2477</f>
        <v> -</v>
      </c>
      <c r="P2476" s="60" t="str">
        <f>P2477</f>
        <v> -</v>
      </c>
      <c r="Q2476" s="30"/>
      <c r="R2476" s="30"/>
      <c r="S2476" s="30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</row>
    <row r="2477" spans="1:48" s="27" customFormat="1" ht="18.75" customHeight="1">
      <c r="A2477" s="12"/>
      <c r="B2477" s="97" t="s">
        <v>561</v>
      </c>
      <c r="C2477" s="29" t="s">
        <v>1053</v>
      </c>
      <c r="D2477" s="51"/>
      <c r="E2477" s="51"/>
      <c r="F2477" s="51">
        <v>1</v>
      </c>
      <c r="G2477" s="51">
        <v>4</v>
      </c>
      <c r="H2477" s="51">
        <v>4</v>
      </c>
      <c r="I2477" s="51">
        <v>4</v>
      </c>
      <c r="J2477" s="51"/>
      <c r="K2477" s="51">
        <v>4</v>
      </c>
      <c r="L2477" s="40">
        <v>2</v>
      </c>
      <c r="M2477" s="40" t="s">
        <v>556</v>
      </c>
      <c r="N2477" s="40" t="s">
        <v>556</v>
      </c>
      <c r="O2477" s="40" t="s">
        <v>556</v>
      </c>
      <c r="P2477" s="40" t="s">
        <v>556</v>
      </c>
      <c r="Q2477" s="30"/>
      <c r="R2477" s="30"/>
      <c r="S2477" s="30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</row>
    <row r="2478" spans="1:48" s="18" customFormat="1" ht="18.75" customHeight="1">
      <c r="A2478" s="50"/>
      <c r="B2478" s="93" t="s">
        <v>37</v>
      </c>
      <c r="C2478" s="16"/>
      <c r="D2478" s="52"/>
      <c r="E2478" s="52"/>
      <c r="F2478" s="52"/>
      <c r="G2478" s="52"/>
      <c r="H2478" s="52"/>
      <c r="I2478" s="52"/>
      <c r="J2478" s="52"/>
      <c r="K2478" s="52"/>
      <c r="L2478" s="60">
        <f>SUM(L2479:L2479)</f>
        <v>9</v>
      </c>
      <c r="M2478" s="60" t="s">
        <v>556</v>
      </c>
      <c r="N2478" s="60" t="s">
        <v>556</v>
      </c>
      <c r="O2478" s="60" t="s">
        <v>556</v>
      </c>
      <c r="P2478" s="60" t="s">
        <v>556</v>
      </c>
      <c r="Q2478" s="23"/>
      <c r="R2478" s="23"/>
      <c r="S2478" s="17"/>
      <c r="T2478" s="47"/>
      <c r="U2478" s="47"/>
      <c r="V2478" s="47"/>
      <c r="W2478" s="47"/>
      <c r="X2478" s="47"/>
      <c r="Y2478" s="47"/>
      <c r="Z2478" s="47"/>
      <c r="AA2478" s="47"/>
      <c r="AB2478" s="47"/>
      <c r="AC2478" s="47"/>
      <c r="AD2478" s="47"/>
      <c r="AE2478" s="47"/>
      <c r="AF2478" s="47"/>
      <c r="AG2478" s="47"/>
      <c r="AH2478" s="47"/>
      <c r="AI2478" s="47"/>
      <c r="AJ2478" s="47"/>
      <c r="AK2478" s="47"/>
      <c r="AL2478" s="47"/>
      <c r="AM2478" s="47"/>
      <c r="AN2478" s="47"/>
      <c r="AO2478" s="47"/>
      <c r="AP2478" s="47"/>
      <c r="AQ2478" s="47"/>
      <c r="AR2478" s="47"/>
      <c r="AS2478" s="47"/>
      <c r="AT2478" s="47"/>
      <c r="AU2478" s="47"/>
      <c r="AV2478" s="47"/>
    </row>
    <row r="2479" spans="1:48" s="27" customFormat="1" ht="18.75" customHeight="1">
      <c r="A2479" s="12"/>
      <c r="B2479" s="97" t="s">
        <v>889</v>
      </c>
      <c r="C2479" s="64" t="s">
        <v>890</v>
      </c>
      <c r="D2479" s="51"/>
      <c r="E2479" s="51"/>
      <c r="F2479" s="51" t="s">
        <v>556</v>
      </c>
      <c r="G2479" s="51">
        <v>22</v>
      </c>
      <c r="H2479" s="51">
        <v>22</v>
      </c>
      <c r="I2479" s="51">
        <v>22</v>
      </c>
      <c r="J2479" s="51"/>
      <c r="K2479" s="51">
        <v>22</v>
      </c>
      <c r="L2479" s="40">
        <v>9</v>
      </c>
      <c r="M2479" s="40" t="s">
        <v>556</v>
      </c>
      <c r="N2479" s="40" t="s">
        <v>556</v>
      </c>
      <c r="O2479" s="40" t="s">
        <v>556</v>
      </c>
      <c r="P2479" s="40" t="s">
        <v>556</v>
      </c>
      <c r="Q2479" s="30"/>
      <c r="R2479" s="30"/>
      <c r="S2479" s="30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</row>
    <row r="2480" spans="1:188" s="57" customFormat="1" ht="19.5" customHeight="1">
      <c r="A2480" s="13">
        <v>2</v>
      </c>
      <c r="B2480" s="92" t="s">
        <v>88</v>
      </c>
      <c r="C2480" s="45"/>
      <c r="D2480" s="44">
        <v>624</v>
      </c>
      <c r="E2480" s="44">
        <v>99</v>
      </c>
      <c r="F2480" s="44">
        <v>214</v>
      </c>
      <c r="G2480" s="44">
        <v>209</v>
      </c>
      <c r="H2480" s="44">
        <v>209</v>
      </c>
      <c r="I2480" s="44">
        <v>204</v>
      </c>
      <c r="J2480" s="44"/>
      <c r="K2480" s="44">
        <v>204</v>
      </c>
      <c r="L2480" s="44">
        <f aca="true" t="shared" si="76" ref="L2480:P2481">L2481</f>
        <v>16</v>
      </c>
      <c r="M2480" s="44">
        <f t="shared" si="76"/>
        <v>16</v>
      </c>
      <c r="N2480" s="44">
        <f t="shared" si="76"/>
        <v>16</v>
      </c>
      <c r="O2480" s="44">
        <f t="shared" si="76"/>
        <v>16</v>
      </c>
      <c r="P2480" s="44">
        <f t="shared" si="76"/>
        <v>16</v>
      </c>
      <c r="Q2480" s="54" t="s">
        <v>648</v>
      </c>
      <c r="R2480" s="54">
        <v>3</v>
      </c>
      <c r="S2480" s="55" t="s">
        <v>593</v>
      </c>
      <c r="T2480" s="56"/>
      <c r="U2480" s="56"/>
      <c r="V2480" s="56"/>
      <c r="W2480" s="56"/>
      <c r="X2480" s="56"/>
      <c r="Y2480" s="56"/>
      <c r="Z2480" s="56"/>
      <c r="AA2480" s="56"/>
      <c r="AB2480" s="56"/>
      <c r="AC2480" s="56"/>
      <c r="AD2480" s="56"/>
      <c r="AE2480" s="56"/>
      <c r="AF2480" s="56"/>
      <c r="AG2480" s="56"/>
      <c r="AH2480" s="56"/>
      <c r="AI2480" s="56"/>
      <c r="AJ2480" s="56"/>
      <c r="AK2480" s="56"/>
      <c r="AL2480" s="56"/>
      <c r="AM2480" s="56"/>
      <c r="AN2480" s="56"/>
      <c r="AO2480" s="56"/>
      <c r="AP2480" s="56"/>
      <c r="AQ2480" s="56"/>
      <c r="AR2480" s="56"/>
      <c r="AS2480" s="56"/>
      <c r="AT2480" s="56"/>
      <c r="AU2480" s="56"/>
      <c r="AV2480" s="56"/>
      <c r="AW2480" s="56"/>
      <c r="AX2480" s="56"/>
      <c r="AY2480" s="56"/>
      <c r="AZ2480" s="56"/>
      <c r="BA2480" s="56"/>
      <c r="BB2480" s="56"/>
      <c r="BC2480" s="56"/>
      <c r="BD2480" s="56"/>
      <c r="BE2480" s="56"/>
      <c r="BF2480" s="56"/>
      <c r="BG2480" s="56"/>
      <c r="BH2480" s="56"/>
      <c r="BI2480" s="56"/>
      <c r="BJ2480" s="56"/>
      <c r="BK2480" s="56"/>
      <c r="BL2480" s="56"/>
      <c r="BM2480" s="56"/>
      <c r="BN2480" s="56"/>
      <c r="BO2480" s="56"/>
      <c r="BP2480" s="56"/>
      <c r="BQ2480" s="56"/>
      <c r="BR2480" s="56"/>
      <c r="BS2480" s="56"/>
      <c r="BT2480" s="56"/>
      <c r="BU2480" s="56"/>
      <c r="BV2480" s="56"/>
      <c r="BW2480" s="56"/>
      <c r="BX2480" s="56"/>
      <c r="BY2480" s="56"/>
      <c r="BZ2480" s="56"/>
      <c r="CA2480" s="56"/>
      <c r="CB2480" s="56"/>
      <c r="CC2480" s="56"/>
      <c r="CD2480" s="56"/>
      <c r="CE2480" s="56"/>
      <c r="CF2480" s="56"/>
      <c r="CG2480" s="56"/>
      <c r="CH2480" s="56"/>
      <c r="CI2480" s="56"/>
      <c r="CJ2480" s="56"/>
      <c r="CK2480" s="56"/>
      <c r="CL2480" s="56"/>
      <c r="CM2480" s="56"/>
      <c r="CN2480" s="56"/>
      <c r="CO2480" s="56"/>
      <c r="CP2480" s="56"/>
      <c r="CQ2480" s="56"/>
      <c r="CR2480" s="56"/>
      <c r="CS2480" s="56"/>
      <c r="CT2480" s="56"/>
      <c r="CU2480" s="56"/>
      <c r="CV2480" s="56"/>
      <c r="CW2480" s="56"/>
      <c r="CX2480" s="56"/>
      <c r="CY2480" s="56"/>
      <c r="CZ2480" s="56"/>
      <c r="DA2480" s="56"/>
      <c r="DB2480" s="56"/>
      <c r="DC2480" s="56"/>
      <c r="DD2480" s="56"/>
      <c r="DE2480" s="56"/>
      <c r="DF2480" s="56"/>
      <c r="DG2480" s="56"/>
      <c r="DH2480" s="56"/>
      <c r="DI2480" s="56"/>
      <c r="DJ2480" s="56"/>
      <c r="DK2480" s="56"/>
      <c r="DL2480" s="56"/>
      <c r="DM2480" s="56"/>
      <c r="DN2480" s="56"/>
      <c r="DO2480" s="56"/>
      <c r="DP2480" s="56"/>
      <c r="DQ2480" s="56"/>
      <c r="DR2480" s="56"/>
      <c r="DS2480" s="56"/>
      <c r="DT2480" s="56"/>
      <c r="DU2480" s="56"/>
      <c r="DV2480" s="56"/>
      <c r="DW2480" s="56"/>
      <c r="DX2480" s="56"/>
      <c r="DY2480" s="56"/>
      <c r="DZ2480" s="56"/>
      <c r="EA2480" s="56"/>
      <c r="EB2480" s="56"/>
      <c r="EC2480" s="56"/>
      <c r="ED2480" s="56"/>
      <c r="EE2480" s="56"/>
      <c r="EF2480" s="56"/>
      <c r="EG2480" s="56"/>
      <c r="EH2480" s="56"/>
      <c r="EI2480" s="56"/>
      <c r="EJ2480" s="56"/>
      <c r="EK2480" s="56"/>
      <c r="EL2480" s="56"/>
      <c r="EM2480" s="56"/>
      <c r="EN2480" s="56"/>
      <c r="EO2480" s="56"/>
      <c r="EP2480" s="56"/>
      <c r="EQ2480" s="56"/>
      <c r="ER2480" s="56"/>
      <c r="ES2480" s="56"/>
      <c r="ET2480" s="56"/>
      <c r="EU2480" s="56"/>
      <c r="EV2480" s="56"/>
      <c r="EW2480" s="56"/>
      <c r="EX2480" s="56"/>
      <c r="EY2480" s="56"/>
      <c r="EZ2480" s="56"/>
      <c r="FA2480" s="56"/>
      <c r="FB2480" s="56"/>
      <c r="FC2480" s="56"/>
      <c r="FD2480" s="56"/>
      <c r="FE2480" s="56"/>
      <c r="FF2480" s="56"/>
      <c r="FG2480" s="56"/>
      <c r="FH2480" s="56"/>
      <c r="FI2480" s="56"/>
      <c r="FJ2480" s="56"/>
      <c r="FK2480" s="56"/>
      <c r="FL2480" s="56"/>
      <c r="FM2480" s="56"/>
      <c r="FN2480" s="56"/>
      <c r="FO2480" s="56"/>
      <c r="FP2480" s="56"/>
      <c r="FQ2480" s="56"/>
      <c r="FR2480" s="56"/>
      <c r="FS2480" s="56"/>
      <c r="FT2480" s="56"/>
      <c r="FU2480" s="56"/>
      <c r="FV2480" s="56"/>
      <c r="FW2480" s="56"/>
      <c r="FX2480" s="56"/>
      <c r="FY2480" s="56"/>
      <c r="FZ2480" s="56"/>
      <c r="GA2480" s="56"/>
      <c r="GB2480" s="56"/>
      <c r="GC2480" s="56"/>
      <c r="GD2480" s="56"/>
      <c r="GE2480" s="56"/>
      <c r="GF2480" s="56"/>
    </row>
    <row r="2481" spans="1:48" s="18" customFormat="1" ht="18.75" customHeight="1">
      <c r="A2481" s="50"/>
      <c r="B2481" s="93" t="s">
        <v>669</v>
      </c>
      <c r="C2481" s="16"/>
      <c r="D2481" s="52"/>
      <c r="E2481" s="52"/>
      <c r="F2481" s="52"/>
      <c r="G2481" s="52"/>
      <c r="H2481" s="52"/>
      <c r="I2481" s="52"/>
      <c r="J2481" s="52"/>
      <c r="K2481" s="52"/>
      <c r="L2481" s="60">
        <f t="shared" si="76"/>
        <v>16</v>
      </c>
      <c r="M2481" s="60">
        <f t="shared" si="76"/>
        <v>16</v>
      </c>
      <c r="N2481" s="60">
        <f t="shared" si="76"/>
        <v>16</v>
      </c>
      <c r="O2481" s="60">
        <f t="shared" si="76"/>
        <v>16</v>
      </c>
      <c r="P2481" s="60">
        <f t="shared" si="76"/>
        <v>16</v>
      </c>
      <c r="Q2481" s="23"/>
      <c r="R2481" s="23"/>
      <c r="S2481" s="17"/>
      <c r="T2481" s="47"/>
      <c r="U2481" s="47"/>
      <c r="V2481" s="47"/>
      <c r="W2481" s="47"/>
      <c r="X2481" s="47"/>
      <c r="Y2481" s="47"/>
      <c r="Z2481" s="47"/>
      <c r="AA2481" s="47"/>
      <c r="AB2481" s="47"/>
      <c r="AC2481" s="47"/>
      <c r="AD2481" s="47"/>
      <c r="AE2481" s="47"/>
      <c r="AF2481" s="47"/>
      <c r="AG2481" s="47"/>
      <c r="AH2481" s="47"/>
      <c r="AI2481" s="47"/>
      <c r="AJ2481" s="47"/>
      <c r="AK2481" s="47"/>
      <c r="AL2481" s="47"/>
      <c r="AM2481" s="47"/>
      <c r="AN2481" s="47"/>
      <c r="AO2481" s="47"/>
      <c r="AP2481" s="47"/>
      <c r="AQ2481" s="47"/>
      <c r="AR2481" s="47"/>
      <c r="AS2481" s="47"/>
      <c r="AT2481" s="47"/>
      <c r="AU2481" s="47"/>
      <c r="AV2481" s="47"/>
    </row>
    <row r="2482" spans="1:48" s="27" customFormat="1" ht="18" customHeight="1">
      <c r="A2482" s="12"/>
      <c r="B2482" s="97" t="s">
        <v>560</v>
      </c>
      <c r="C2482" s="29" t="s">
        <v>1319</v>
      </c>
      <c r="D2482" s="51"/>
      <c r="E2482" s="51"/>
      <c r="F2482" s="51">
        <v>85</v>
      </c>
      <c r="G2482" s="51">
        <v>80</v>
      </c>
      <c r="H2482" s="51">
        <v>80</v>
      </c>
      <c r="I2482" s="51">
        <v>75</v>
      </c>
      <c r="J2482" s="51"/>
      <c r="K2482" s="51">
        <v>75</v>
      </c>
      <c r="L2482" s="40">
        <v>16</v>
      </c>
      <c r="M2482" s="40">
        <v>16</v>
      </c>
      <c r="N2482" s="40">
        <v>16</v>
      </c>
      <c r="O2482" s="40">
        <v>16</v>
      </c>
      <c r="P2482" s="40">
        <v>16</v>
      </c>
      <c r="Q2482" s="30"/>
      <c r="R2482" s="30"/>
      <c r="S2482" s="30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</row>
    <row r="2483" spans="1:188" s="57" customFormat="1" ht="16.5" customHeight="1">
      <c r="A2483" s="13">
        <v>3</v>
      </c>
      <c r="B2483" s="108" t="s">
        <v>1012</v>
      </c>
      <c r="C2483" s="45"/>
      <c r="D2483" s="44">
        <v>1253</v>
      </c>
      <c r="E2483" s="44">
        <v>59</v>
      </c>
      <c r="F2483" s="44"/>
      <c r="G2483" s="44">
        <v>1228</v>
      </c>
      <c r="H2483" s="44">
        <v>1204</v>
      </c>
      <c r="I2483" s="44">
        <v>1181</v>
      </c>
      <c r="J2483" s="44">
        <v>1159</v>
      </c>
      <c r="K2483" s="44">
        <v>1137</v>
      </c>
      <c r="L2483" s="44">
        <f>SUM(L2484,L2486)</f>
        <v>3</v>
      </c>
      <c r="M2483" s="44">
        <f>SUM(M2484,M2486)</f>
        <v>3</v>
      </c>
      <c r="N2483" s="44">
        <f>SUM(N2484,N2486)</f>
        <v>3</v>
      </c>
      <c r="O2483" s="44">
        <f>SUM(O2484,O2486)</f>
        <v>3</v>
      </c>
      <c r="P2483" s="44">
        <f>SUM(P2484,P2486)</f>
        <v>3</v>
      </c>
      <c r="Q2483" s="54" t="s">
        <v>649</v>
      </c>
      <c r="R2483" s="54">
        <v>1</v>
      </c>
      <c r="S2483" s="55" t="s">
        <v>668</v>
      </c>
      <c r="T2483" s="56"/>
      <c r="U2483" s="56"/>
      <c r="V2483" s="56"/>
      <c r="W2483" s="56"/>
      <c r="X2483" s="56"/>
      <c r="Y2483" s="56"/>
      <c r="Z2483" s="56"/>
      <c r="AA2483" s="56"/>
      <c r="AB2483" s="56"/>
      <c r="AC2483" s="56"/>
      <c r="AD2483" s="56"/>
      <c r="AE2483" s="56"/>
      <c r="AF2483" s="56"/>
      <c r="AG2483" s="56"/>
      <c r="AH2483" s="56"/>
      <c r="AI2483" s="56"/>
      <c r="AJ2483" s="56"/>
      <c r="AK2483" s="56"/>
      <c r="AL2483" s="56"/>
      <c r="AM2483" s="56"/>
      <c r="AN2483" s="56"/>
      <c r="AO2483" s="56"/>
      <c r="AP2483" s="56"/>
      <c r="AQ2483" s="56"/>
      <c r="AR2483" s="56"/>
      <c r="AS2483" s="56"/>
      <c r="AT2483" s="56"/>
      <c r="AU2483" s="56"/>
      <c r="AV2483" s="56"/>
      <c r="AW2483" s="56"/>
      <c r="AX2483" s="56"/>
      <c r="AY2483" s="56"/>
      <c r="AZ2483" s="56"/>
      <c r="BA2483" s="56"/>
      <c r="BB2483" s="56"/>
      <c r="BC2483" s="56"/>
      <c r="BD2483" s="56"/>
      <c r="BE2483" s="56"/>
      <c r="BF2483" s="56"/>
      <c r="BG2483" s="56"/>
      <c r="BH2483" s="56"/>
      <c r="BI2483" s="56"/>
      <c r="BJ2483" s="56"/>
      <c r="BK2483" s="56"/>
      <c r="BL2483" s="56"/>
      <c r="BM2483" s="56"/>
      <c r="BN2483" s="56"/>
      <c r="BO2483" s="56"/>
      <c r="BP2483" s="56"/>
      <c r="BQ2483" s="56"/>
      <c r="BR2483" s="56"/>
      <c r="BS2483" s="56"/>
      <c r="BT2483" s="56"/>
      <c r="BU2483" s="56"/>
      <c r="BV2483" s="56"/>
      <c r="BW2483" s="56"/>
      <c r="BX2483" s="56"/>
      <c r="BY2483" s="56"/>
      <c r="BZ2483" s="56"/>
      <c r="CA2483" s="56"/>
      <c r="CB2483" s="56"/>
      <c r="CC2483" s="56"/>
      <c r="CD2483" s="56"/>
      <c r="CE2483" s="56"/>
      <c r="CF2483" s="56"/>
      <c r="CG2483" s="56"/>
      <c r="CH2483" s="56"/>
      <c r="CI2483" s="56"/>
      <c r="CJ2483" s="56"/>
      <c r="CK2483" s="56"/>
      <c r="CL2483" s="56"/>
      <c r="CM2483" s="56"/>
      <c r="CN2483" s="56"/>
      <c r="CO2483" s="56"/>
      <c r="CP2483" s="56"/>
      <c r="CQ2483" s="56"/>
      <c r="CR2483" s="56"/>
      <c r="CS2483" s="56"/>
      <c r="CT2483" s="56"/>
      <c r="CU2483" s="56"/>
      <c r="CV2483" s="56"/>
      <c r="CW2483" s="56"/>
      <c r="CX2483" s="56"/>
      <c r="CY2483" s="56"/>
      <c r="CZ2483" s="56"/>
      <c r="DA2483" s="56"/>
      <c r="DB2483" s="56"/>
      <c r="DC2483" s="56"/>
      <c r="DD2483" s="56"/>
      <c r="DE2483" s="56"/>
      <c r="DF2483" s="56"/>
      <c r="DG2483" s="56"/>
      <c r="DH2483" s="56"/>
      <c r="DI2483" s="56"/>
      <c r="DJ2483" s="56"/>
      <c r="DK2483" s="56"/>
      <c r="DL2483" s="56"/>
      <c r="DM2483" s="56"/>
      <c r="DN2483" s="56"/>
      <c r="DO2483" s="56"/>
      <c r="DP2483" s="56"/>
      <c r="DQ2483" s="56"/>
      <c r="DR2483" s="56"/>
      <c r="DS2483" s="56"/>
      <c r="DT2483" s="56"/>
      <c r="DU2483" s="56"/>
      <c r="DV2483" s="56"/>
      <c r="DW2483" s="56"/>
      <c r="DX2483" s="56"/>
      <c r="DY2483" s="56"/>
      <c r="DZ2483" s="56"/>
      <c r="EA2483" s="56"/>
      <c r="EB2483" s="56"/>
      <c r="EC2483" s="56"/>
      <c r="ED2483" s="56"/>
      <c r="EE2483" s="56"/>
      <c r="EF2483" s="56"/>
      <c r="EG2483" s="56"/>
      <c r="EH2483" s="56"/>
      <c r="EI2483" s="56"/>
      <c r="EJ2483" s="56"/>
      <c r="EK2483" s="56"/>
      <c r="EL2483" s="56"/>
      <c r="EM2483" s="56"/>
      <c r="EN2483" s="56"/>
      <c r="EO2483" s="56"/>
      <c r="EP2483" s="56"/>
      <c r="EQ2483" s="56"/>
      <c r="ER2483" s="56"/>
      <c r="ES2483" s="56"/>
      <c r="ET2483" s="56"/>
      <c r="EU2483" s="56"/>
      <c r="EV2483" s="56"/>
      <c r="EW2483" s="56"/>
      <c r="EX2483" s="56"/>
      <c r="EY2483" s="56"/>
      <c r="EZ2483" s="56"/>
      <c r="FA2483" s="56"/>
      <c r="FB2483" s="56"/>
      <c r="FC2483" s="56"/>
      <c r="FD2483" s="56"/>
      <c r="FE2483" s="56"/>
      <c r="FF2483" s="56"/>
      <c r="FG2483" s="56"/>
      <c r="FH2483" s="56"/>
      <c r="FI2483" s="56"/>
      <c r="FJ2483" s="56"/>
      <c r="FK2483" s="56"/>
      <c r="FL2483" s="56"/>
      <c r="FM2483" s="56"/>
      <c r="FN2483" s="56"/>
      <c r="FO2483" s="56"/>
      <c r="FP2483" s="56"/>
      <c r="FQ2483" s="56"/>
      <c r="FR2483" s="56"/>
      <c r="FS2483" s="56"/>
      <c r="FT2483" s="56"/>
      <c r="FU2483" s="56"/>
      <c r="FV2483" s="56"/>
      <c r="FW2483" s="56"/>
      <c r="FX2483" s="56"/>
      <c r="FY2483" s="56"/>
      <c r="FZ2483" s="56"/>
      <c r="GA2483" s="56"/>
      <c r="GB2483" s="56"/>
      <c r="GC2483" s="56"/>
      <c r="GD2483" s="56"/>
      <c r="GE2483" s="56"/>
      <c r="GF2483" s="56"/>
    </row>
    <row r="2484" spans="1:48" s="18" customFormat="1" ht="16.5" customHeight="1">
      <c r="A2484" s="50"/>
      <c r="B2484" s="93" t="s">
        <v>670</v>
      </c>
      <c r="C2484" s="16"/>
      <c r="D2484" s="52"/>
      <c r="E2484" s="52"/>
      <c r="F2484" s="52"/>
      <c r="G2484" s="52"/>
      <c r="H2484" s="52"/>
      <c r="I2484" s="52"/>
      <c r="J2484" s="52"/>
      <c r="K2484" s="52"/>
      <c r="L2484" s="60">
        <f>SUM(L2485:L2485)</f>
        <v>1</v>
      </c>
      <c r="M2484" s="60">
        <f>SUM(M2485:M2485)</f>
        <v>1</v>
      </c>
      <c r="N2484" s="60">
        <f>SUM(N2485:N2485)</f>
        <v>1</v>
      </c>
      <c r="O2484" s="60">
        <f>SUM(O2485:O2485)</f>
        <v>1</v>
      </c>
      <c r="P2484" s="60">
        <f>SUM(P2485:P2485)</f>
        <v>1</v>
      </c>
      <c r="Q2484" s="23"/>
      <c r="R2484" s="23"/>
      <c r="S2484" s="17"/>
      <c r="T2484" s="47"/>
      <c r="U2484" s="47"/>
      <c r="V2484" s="47"/>
      <c r="W2484" s="47"/>
      <c r="X2484" s="47"/>
      <c r="Y2484" s="47"/>
      <c r="Z2484" s="47"/>
      <c r="AA2484" s="47"/>
      <c r="AB2484" s="47"/>
      <c r="AC2484" s="47"/>
      <c r="AD2484" s="47"/>
      <c r="AE2484" s="47"/>
      <c r="AF2484" s="47"/>
      <c r="AG2484" s="47"/>
      <c r="AH2484" s="47"/>
      <c r="AI2484" s="47"/>
      <c r="AJ2484" s="47"/>
      <c r="AK2484" s="47"/>
      <c r="AL2484" s="47"/>
      <c r="AM2484" s="47"/>
      <c r="AN2484" s="47"/>
      <c r="AO2484" s="47"/>
      <c r="AP2484" s="47"/>
      <c r="AQ2484" s="47"/>
      <c r="AR2484" s="47"/>
      <c r="AS2484" s="47"/>
      <c r="AT2484" s="47"/>
      <c r="AU2484" s="47"/>
      <c r="AV2484" s="47"/>
    </row>
    <row r="2485" spans="1:48" s="27" customFormat="1" ht="16.5" customHeight="1">
      <c r="A2485" s="12"/>
      <c r="B2485" s="97" t="s">
        <v>1013</v>
      </c>
      <c r="C2485" s="29" t="s">
        <v>1014</v>
      </c>
      <c r="D2485" s="51"/>
      <c r="E2485" s="51"/>
      <c r="F2485" s="51"/>
      <c r="G2485" s="51">
        <v>165</v>
      </c>
      <c r="H2485" s="51">
        <v>162</v>
      </c>
      <c r="I2485" s="51">
        <v>159</v>
      </c>
      <c r="J2485" s="51">
        <v>156</v>
      </c>
      <c r="K2485" s="51">
        <v>153</v>
      </c>
      <c r="L2485" s="40">
        <v>1</v>
      </c>
      <c r="M2485" s="40">
        <v>1</v>
      </c>
      <c r="N2485" s="40">
        <v>1</v>
      </c>
      <c r="O2485" s="40">
        <v>1</v>
      </c>
      <c r="P2485" s="40">
        <v>1</v>
      </c>
      <c r="Q2485" s="30"/>
      <c r="R2485" s="30"/>
      <c r="S2485" s="30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</row>
    <row r="2486" spans="1:48" s="18" customFormat="1" ht="16.5" customHeight="1">
      <c r="A2486" s="50"/>
      <c r="B2486" s="93" t="s">
        <v>37</v>
      </c>
      <c r="C2486" s="16"/>
      <c r="D2486" s="52"/>
      <c r="E2486" s="52"/>
      <c r="F2486" s="52"/>
      <c r="G2486" s="52"/>
      <c r="H2486" s="52"/>
      <c r="I2486" s="52"/>
      <c r="J2486" s="52"/>
      <c r="K2486" s="52"/>
      <c r="L2486" s="60">
        <f>SUM(L2487:L2487)</f>
        <v>2</v>
      </c>
      <c r="M2486" s="60">
        <f>SUM(M2487:M2487)</f>
        <v>2</v>
      </c>
      <c r="N2486" s="60">
        <f>SUM(N2487:N2487)</f>
        <v>2</v>
      </c>
      <c r="O2486" s="60">
        <f>SUM(O2487:O2487)</f>
        <v>2</v>
      </c>
      <c r="P2486" s="60">
        <f>SUM(P2487:P2487)</f>
        <v>2</v>
      </c>
      <c r="Q2486" s="23"/>
      <c r="R2486" s="23"/>
      <c r="S2486" s="17"/>
      <c r="T2486" s="47"/>
      <c r="U2486" s="47"/>
      <c r="V2486" s="47"/>
      <c r="W2486" s="47"/>
      <c r="X2486" s="47"/>
      <c r="Y2486" s="47"/>
      <c r="Z2486" s="47"/>
      <c r="AA2486" s="47"/>
      <c r="AB2486" s="47"/>
      <c r="AC2486" s="47"/>
      <c r="AD2486" s="47"/>
      <c r="AE2486" s="47"/>
      <c r="AF2486" s="47"/>
      <c r="AG2486" s="47"/>
      <c r="AH2486" s="47"/>
      <c r="AI2486" s="47"/>
      <c r="AJ2486" s="47"/>
      <c r="AK2486" s="47"/>
      <c r="AL2486" s="47"/>
      <c r="AM2486" s="47"/>
      <c r="AN2486" s="47"/>
      <c r="AO2486" s="47"/>
      <c r="AP2486" s="47"/>
      <c r="AQ2486" s="47"/>
      <c r="AR2486" s="47"/>
      <c r="AS2486" s="47"/>
      <c r="AT2486" s="47"/>
      <c r="AU2486" s="47"/>
      <c r="AV2486" s="47"/>
    </row>
    <row r="2487" spans="1:48" s="27" customFormat="1" ht="16.5" customHeight="1">
      <c r="A2487" s="12"/>
      <c r="B2487" s="97" t="s">
        <v>1015</v>
      </c>
      <c r="C2487" s="15" t="s">
        <v>1016</v>
      </c>
      <c r="D2487" s="51"/>
      <c r="E2487" s="51"/>
      <c r="F2487" s="51" t="s">
        <v>556</v>
      </c>
      <c r="G2487" s="51">
        <v>462</v>
      </c>
      <c r="H2487" s="51">
        <v>452</v>
      </c>
      <c r="I2487" s="51">
        <v>443</v>
      </c>
      <c r="J2487" s="51">
        <v>434</v>
      </c>
      <c r="K2487" s="51">
        <v>425</v>
      </c>
      <c r="L2487" s="40">
        <v>2</v>
      </c>
      <c r="M2487" s="40">
        <v>2</v>
      </c>
      <c r="N2487" s="40">
        <v>2</v>
      </c>
      <c r="O2487" s="40">
        <v>2</v>
      </c>
      <c r="P2487" s="40">
        <v>2</v>
      </c>
      <c r="Q2487" s="30"/>
      <c r="R2487" s="30"/>
      <c r="S2487" s="30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</row>
    <row r="2488" spans="1:188" s="57" customFormat="1" ht="16.5" customHeight="1">
      <c r="A2488" s="13">
        <v>4</v>
      </c>
      <c r="B2488" s="108" t="s">
        <v>1005</v>
      </c>
      <c r="C2488" s="45"/>
      <c r="D2488" s="44">
        <v>110</v>
      </c>
      <c r="E2488" s="44" t="s">
        <v>556</v>
      </c>
      <c r="F2488" s="44"/>
      <c r="G2488" s="44">
        <v>110</v>
      </c>
      <c r="H2488" s="44">
        <v>110</v>
      </c>
      <c r="I2488" s="44">
        <v>110</v>
      </c>
      <c r="J2488" s="44">
        <v>110</v>
      </c>
      <c r="K2488" s="44">
        <v>110</v>
      </c>
      <c r="L2488" s="44">
        <f>SUM(L2489,L2492,L2495)</f>
        <v>23</v>
      </c>
      <c r="M2488" s="44">
        <f>SUM(M2489,M2492,M2495)</f>
        <v>35</v>
      </c>
      <c r="N2488" s="44">
        <f>SUM(N2489,N2492,N2495)</f>
        <v>34</v>
      </c>
      <c r="O2488" s="44">
        <f>SUM(O2489,O2492,O2495)</f>
        <v>31</v>
      </c>
      <c r="P2488" s="44">
        <f>SUM(P2489,P2492,P2495)</f>
        <v>26</v>
      </c>
      <c r="Q2488" s="54" t="s">
        <v>649</v>
      </c>
      <c r="R2488" s="54">
        <v>1</v>
      </c>
      <c r="S2488" s="55" t="s">
        <v>668</v>
      </c>
      <c r="T2488" s="56"/>
      <c r="U2488" s="56"/>
      <c r="V2488" s="56"/>
      <c r="W2488" s="56"/>
      <c r="X2488" s="56"/>
      <c r="Y2488" s="56"/>
      <c r="Z2488" s="56"/>
      <c r="AA2488" s="56"/>
      <c r="AB2488" s="56"/>
      <c r="AC2488" s="56"/>
      <c r="AD2488" s="56"/>
      <c r="AE2488" s="56"/>
      <c r="AF2488" s="56"/>
      <c r="AG2488" s="56"/>
      <c r="AH2488" s="56"/>
      <c r="AI2488" s="56"/>
      <c r="AJ2488" s="56"/>
      <c r="AK2488" s="56"/>
      <c r="AL2488" s="56"/>
      <c r="AM2488" s="56"/>
      <c r="AN2488" s="56"/>
      <c r="AO2488" s="56"/>
      <c r="AP2488" s="56"/>
      <c r="AQ2488" s="56"/>
      <c r="AR2488" s="56"/>
      <c r="AS2488" s="56"/>
      <c r="AT2488" s="56"/>
      <c r="AU2488" s="56"/>
      <c r="AV2488" s="56"/>
      <c r="AW2488" s="56"/>
      <c r="AX2488" s="56"/>
      <c r="AY2488" s="56"/>
      <c r="AZ2488" s="56"/>
      <c r="BA2488" s="56"/>
      <c r="BB2488" s="56"/>
      <c r="BC2488" s="56"/>
      <c r="BD2488" s="56"/>
      <c r="BE2488" s="56"/>
      <c r="BF2488" s="56"/>
      <c r="BG2488" s="56"/>
      <c r="BH2488" s="56"/>
      <c r="BI2488" s="56"/>
      <c r="BJ2488" s="56"/>
      <c r="BK2488" s="56"/>
      <c r="BL2488" s="56"/>
      <c r="BM2488" s="56"/>
      <c r="BN2488" s="56"/>
      <c r="BO2488" s="56"/>
      <c r="BP2488" s="56"/>
      <c r="BQ2488" s="56"/>
      <c r="BR2488" s="56"/>
      <c r="BS2488" s="56"/>
      <c r="BT2488" s="56"/>
      <c r="BU2488" s="56"/>
      <c r="BV2488" s="56"/>
      <c r="BW2488" s="56"/>
      <c r="BX2488" s="56"/>
      <c r="BY2488" s="56"/>
      <c r="BZ2488" s="56"/>
      <c r="CA2488" s="56"/>
      <c r="CB2488" s="56"/>
      <c r="CC2488" s="56"/>
      <c r="CD2488" s="56"/>
      <c r="CE2488" s="56"/>
      <c r="CF2488" s="56"/>
      <c r="CG2488" s="56"/>
      <c r="CH2488" s="56"/>
      <c r="CI2488" s="56"/>
      <c r="CJ2488" s="56"/>
      <c r="CK2488" s="56"/>
      <c r="CL2488" s="56"/>
      <c r="CM2488" s="56"/>
      <c r="CN2488" s="56"/>
      <c r="CO2488" s="56"/>
      <c r="CP2488" s="56"/>
      <c r="CQ2488" s="56"/>
      <c r="CR2488" s="56"/>
      <c r="CS2488" s="56"/>
      <c r="CT2488" s="56"/>
      <c r="CU2488" s="56"/>
      <c r="CV2488" s="56"/>
      <c r="CW2488" s="56"/>
      <c r="CX2488" s="56"/>
      <c r="CY2488" s="56"/>
      <c r="CZ2488" s="56"/>
      <c r="DA2488" s="56"/>
      <c r="DB2488" s="56"/>
      <c r="DC2488" s="56"/>
      <c r="DD2488" s="56"/>
      <c r="DE2488" s="56"/>
      <c r="DF2488" s="56"/>
      <c r="DG2488" s="56"/>
      <c r="DH2488" s="56"/>
      <c r="DI2488" s="56"/>
      <c r="DJ2488" s="56"/>
      <c r="DK2488" s="56"/>
      <c r="DL2488" s="56"/>
      <c r="DM2488" s="56"/>
      <c r="DN2488" s="56"/>
      <c r="DO2488" s="56"/>
      <c r="DP2488" s="56"/>
      <c r="DQ2488" s="56"/>
      <c r="DR2488" s="56"/>
      <c r="DS2488" s="56"/>
      <c r="DT2488" s="56"/>
      <c r="DU2488" s="56"/>
      <c r="DV2488" s="56"/>
      <c r="DW2488" s="56"/>
      <c r="DX2488" s="56"/>
      <c r="DY2488" s="56"/>
      <c r="DZ2488" s="56"/>
      <c r="EA2488" s="56"/>
      <c r="EB2488" s="56"/>
      <c r="EC2488" s="56"/>
      <c r="ED2488" s="56"/>
      <c r="EE2488" s="56"/>
      <c r="EF2488" s="56"/>
      <c r="EG2488" s="56"/>
      <c r="EH2488" s="56"/>
      <c r="EI2488" s="56"/>
      <c r="EJ2488" s="56"/>
      <c r="EK2488" s="56"/>
      <c r="EL2488" s="56"/>
      <c r="EM2488" s="56"/>
      <c r="EN2488" s="56"/>
      <c r="EO2488" s="56"/>
      <c r="EP2488" s="56"/>
      <c r="EQ2488" s="56"/>
      <c r="ER2488" s="56"/>
      <c r="ES2488" s="56"/>
      <c r="ET2488" s="56"/>
      <c r="EU2488" s="56"/>
      <c r="EV2488" s="56"/>
      <c r="EW2488" s="56"/>
      <c r="EX2488" s="56"/>
      <c r="EY2488" s="56"/>
      <c r="EZ2488" s="56"/>
      <c r="FA2488" s="56"/>
      <c r="FB2488" s="56"/>
      <c r="FC2488" s="56"/>
      <c r="FD2488" s="56"/>
      <c r="FE2488" s="56"/>
      <c r="FF2488" s="56"/>
      <c r="FG2488" s="56"/>
      <c r="FH2488" s="56"/>
      <c r="FI2488" s="56"/>
      <c r="FJ2488" s="56"/>
      <c r="FK2488" s="56"/>
      <c r="FL2488" s="56"/>
      <c r="FM2488" s="56"/>
      <c r="FN2488" s="56"/>
      <c r="FO2488" s="56"/>
      <c r="FP2488" s="56"/>
      <c r="FQ2488" s="56"/>
      <c r="FR2488" s="56"/>
      <c r="FS2488" s="56"/>
      <c r="FT2488" s="56"/>
      <c r="FU2488" s="56"/>
      <c r="FV2488" s="56"/>
      <c r="FW2488" s="56"/>
      <c r="FX2488" s="56"/>
      <c r="FY2488" s="56"/>
      <c r="FZ2488" s="56"/>
      <c r="GA2488" s="56"/>
      <c r="GB2488" s="56"/>
      <c r="GC2488" s="56"/>
      <c r="GD2488" s="56"/>
      <c r="GE2488" s="56"/>
      <c r="GF2488" s="56"/>
    </row>
    <row r="2489" spans="1:48" s="18" customFormat="1" ht="16.5" customHeight="1">
      <c r="A2489" s="50"/>
      <c r="B2489" s="93" t="s">
        <v>669</v>
      </c>
      <c r="C2489" s="16"/>
      <c r="D2489" s="52"/>
      <c r="E2489" s="52"/>
      <c r="F2489" s="52"/>
      <c r="G2489" s="52"/>
      <c r="H2489" s="52"/>
      <c r="I2489" s="52"/>
      <c r="J2489" s="52"/>
      <c r="K2489" s="52"/>
      <c r="L2489" s="60">
        <f>SUM(L2490:L2491)</f>
        <v>1</v>
      </c>
      <c r="M2489" s="60" t="s">
        <v>556</v>
      </c>
      <c r="N2489" s="60">
        <f>SUM(N2490:N2491)</f>
        <v>1</v>
      </c>
      <c r="O2489" s="60">
        <f>SUM(O2490:O2491)</f>
        <v>1</v>
      </c>
      <c r="P2489" s="60" t="s">
        <v>556</v>
      </c>
      <c r="Q2489" s="23"/>
      <c r="R2489" s="23"/>
      <c r="S2489" s="17"/>
      <c r="T2489" s="47"/>
      <c r="U2489" s="47"/>
      <c r="V2489" s="47"/>
      <c r="W2489" s="47"/>
      <c r="X2489" s="47"/>
      <c r="Y2489" s="47"/>
      <c r="Z2489" s="47"/>
      <c r="AA2489" s="47"/>
      <c r="AB2489" s="47"/>
      <c r="AC2489" s="47"/>
      <c r="AD2489" s="47"/>
      <c r="AE2489" s="47"/>
      <c r="AF2489" s="47"/>
      <c r="AG2489" s="47"/>
      <c r="AH2489" s="47"/>
      <c r="AI2489" s="47"/>
      <c r="AJ2489" s="47"/>
      <c r="AK2489" s="47"/>
      <c r="AL2489" s="47"/>
      <c r="AM2489" s="47"/>
      <c r="AN2489" s="47"/>
      <c r="AO2489" s="47"/>
      <c r="AP2489" s="47"/>
      <c r="AQ2489" s="47"/>
      <c r="AR2489" s="47"/>
      <c r="AS2489" s="47"/>
      <c r="AT2489" s="47"/>
      <c r="AU2489" s="47"/>
      <c r="AV2489" s="47"/>
    </row>
    <row r="2490" spans="1:48" s="27" customFormat="1" ht="16.5" customHeight="1">
      <c r="A2490" s="12"/>
      <c r="B2490" s="105" t="s">
        <v>927</v>
      </c>
      <c r="C2490" s="15" t="s">
        <v>1029</v>
      </c>
      <c r="D2490" s="51"/>
      <c r="E2490" s="51"/>
      <c r="F2490" s="51"/>
      <c r="G2490" s="51">
        <v>1</v>
      </c>
      <c r="H2490" s="51">
        <v>1</v>
      </c>
      <c r="I2490" s="51">
        <v>1</v>
      </c>
      <c r="J2490" s="51">
        <v>1</v>
      </c>
      <c r="K2490" s="51">
        <v>1</v>
      </c>
      <c r="L2490" s="40" t="s">
        <v>556</v>
      </c>
      <c r="M2490" s="40" t="s">
        <v>556</v>
      </c>
      <c r="N2490" s="40" t="s">
        <v>556</v>
      </c>
      <c r="O2490" s="40">
        <v>1</v>
      </c>
      <c r="P2490" s="40" t="s">
        <v>556</v>
      </c>
      <c r="Q2490" s="30"/>
      <c r="R2490" s="30"/>
      <c r="S2490" s="30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</row>
    <row r="2491" spans="1:48" s="27" customFormat="1" ht="16.5" customHeight="1">
      <c r="A2491" s="12"/>
      <c r="B2491" s="97" t="s">
        <v>560</v>
      </c>
      <c r="C2491" s="29" t="s">
        <v>1319</v>
      </c>
      <c r="D2491" s="51"/>
      <c r="E2491" s="51"/>
      <c r="F2491" s="51"/>
      <c r="G2491" s="51">
        <v>2</v>
      </c>
      <c r="H2491" s="51">
        <v>2</v>
      </c>
      <c r="I2491" s="51">
        <v>2</v>
      </c>
      <c r="J2491" s="51">
        <v>2</v>
      </c>
      <c r="K2491" s="51">
        <v>2</v>
      </c>
      <c r="L2491" s="40">
        <v>1</v>
      </c>
      <c r="M2491" s="40" t="s">
        <v>556</v>
      </c>
      <c r="N2491" s="40">
        <v>1</v>
      </c>
      <c r="O2491" s="40" t="s">
        <v>556</v>
      </c>
      <c r="P2491" s="40" t="s">
        <v>556</v>
      </c>
      <c r="Q2491" s="30"/>
      <c r="R2491" s="30"/>
      <c r="S2491" s="30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</row>
    <row r="2492" spans="1:48" s="18" customFormat="1" ht="16.5" customHeight="1">
      <c r="A2492" s="50"/>
      <c r="B2492" s="93" t="s">
        <v>670</v>
      </c>
      <c r="C2492" s="16"/>
      <c r="D2492" s="52"/>
      <c r="E2492" s="52"/>
      <c r="F2492" s="52"/>
      <c r="G2492" s="52"/>
      <c r="H2492" s="52"/>
      <c r="I2492" s="52"/>
      <c r="J2492" s="52"/>
      <c r="K2492" s="52"/>
      <c r="L2492" s="60">
        <f>SUM(L2493:L2494)</f>
        <v>2</v>
      </c>
      <c r="M2492" s="60">
        <f>SUM(M2493:M2494)</f>
        <v>3</v>
      </c>
      <c r="N2492" s="60">
        <f>SUM(N2493:N2494)</f>
        <v>2</v>
      </c>
      <c r="O2492" s="60">
        <f>SUM(O2493:O2494)</f>
        <v>3</v>
      </c>
      <c r="P2492" s="60">
        <f>SUM(P2493:P2494)</f>
        <v>3</v>
      </c>
      <c r="Q2492" s="23"/>
      <c r="R2492" s="23"/>
      <c r="S2492" s="17"/>
      <c r="T2492" s="47"/>
      <c r="U2492" s="47"/>
      <c r="V2492" s="47"/>
      <c r="W2492" s="47"/>
      <c r="X2492" s="47"/>
      <c r="Y2492" s="47"/>
      <c r="Z2492" s="47"/>
      <c r="AA2492" s="47"/>
      <c r="AB2492" s="47"/>
      <c r="AC2492" s="47"/>
      <c r="AD2492" s="47"/>
      <c r="AE2492" s="47"/>
      <c r="AF2492" s="47"/>
      <c r="AG2492" s="47"/>
      <c r="AH2492" s="47"/>
      <c r="AI2492" s="47"/>
      <c r="AJ2492" s="47"/>
      <c r="AK2492" s="47"/>
      <c r="AL2492" s="47"/>
      <c r="AM2492" s="47"/>
      <c r="AN2492" s="47"/>
      <c r="AO2492" s="47"/>
      <c r="AP2492" s="47"/>
      <c r="AQ2492" s="47"/>
      <c r="AR2492" s="47"/>
      <c r="AS2492" s="47"/>
      <c r="AT2492" s="47"/>
      <c r="AU2492" s="47"/>
      <c r="AV2492" s="47"/>
    </row>
    <row r="2493" spans="1:48" s="27" customFormat="1" ht="16.5" customHeight="1">
      <c r="A2493" s="12"/>
      <c r="B2493" s="97" t="s">
        <v>1006</v>
      </c>
      <c r="C2493" s="29" t="s">
        <v>1007</v>
      </c>
      <c r="D2493" s="51"/>
      <c r="E2493" s="51"/>
      <c r="F2493" s="51"/>
      <c r="G2493" s="51">
        <v>3</v>
      </c>
      <c r="H2493" s="51">
        <v>3</v>
      </c>
      <c r="I2493" s="51">
        <v>3</v>
      </c>
      <c r="J2493" s="51">
        <v>3</v>
      </c>
      <c r="K2493" s="51">
        <v>3</v>
      </c>
      <c r="L2493" s="40">
        <v>2</v>
      </c>
      <c r="M2493" s="40">
        <v>1</v>
      </c>
      <c r="N2493" s="40">
        <v>1</v>
      </c>
      <c r="O2493" s="40">
        <v>1</v>
      </c>
      <c r="P2493" s="40">
        <v>2</v>
      </c>
      <c r="Q2493" s="30"/>
      <c r="R2493" s="30"/>
      <c r="S2493" s="30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</row>
    <row r="2494" spans="1:48" s="27" customFormat="1" ht="16.5" customHeight="1">
      <c r="A2494" s="12"/>
      <c r="B2494" s="97" t="s">
        <v>561</v>
      </c>
      <c r="C2494" s="66" t="s">
        <v>804</v>
      </c>
      <c r="D2494" s="51"/>
      <c r="E2494" s="51"/>
      <c r="F2494" s="51"/>
      <c r="G2494" s="51">
        <v>4</v>
      </c>
      <c r="H2494" s="51">
        <v>4</v>
      </c>
      <c r="I2494" s="51">
        <v>4</v>
      </c>
      <c r="J2494" s="51">
        <v>4</v>
      </c>
      <c r="K2494" s="51">
        <v>4</v>
      </c>
      <c r="L2494" s="40" t="s">
        <v>556</v>
      </c>
      <c r="M2494" s="40">
        <v>2</v>
      </c>
      <c r="N2494" s="40">
        <v>1</v>
      </c>
      <c r="O2494" s="40">
        <v>2</v>
      </c>
      <c r="P2494" s="40">
        <v>1</v>
      </c>
      <c r="Q2494" s="30"/>
      <c r="R2494" s="30"/>
      <c r="S2494" s="30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</row>
    <row r="2495" spans="1:48" s="18" customFormat="1" ht="16.5" customHeight="1">
      <c r="A2495" s="50"/>
      <c r="B2495" s="93" t="s">
        <v>37</v>
      </c>
      <c r="C2495" s="16"/>
      <c r="D2495" s="52"/>
      <c r="E2495" s="52"/>
      <c r="F2495" s="52"/>
      <c r="G2495" s="52"/>
      <c r="H2495" s="52"/>
      <c r="I2495" s="52"/>
      <c r="J2495" s="52"/>
      <c r="K2495" s="52"/>
      <c r="L2495" s="60">
        <f>SUM(L2496:L2504)</f>
        <v>20</v>
      </c>
      <c r="M2495" s="60">
        <f>SUM(M2496:M2504)</f>
        <v>32</v>
      </c>
      <c r="N2495" s="60">
        <f>SUM(N2496:N2504)</f>
        <v>31</v>
      </c>
      <c r="O2495" s="60">
        <f>SUM(O2496:O2504)</f>
        <v>27</v>
      </c>
      <c r="P2495" s="60">
        <f>SUM(P2496:P2504)</f>
        <v>23</v>
      </c>
      <c r="Q2495" s="23"/>
      <c r="R2495" s="23"/>
      <c r="S2495" s="17"/>
      <c r="T2495" s="47"/>
      <c r="U2495" s="47"/>
      <c r="V2495" s="47"/>
      <c r="W2495" s="47"/>
      <c r="X2495" s="47"/>
      <c r="Y2495" s="47"/>
      <c r="Z2495" s="47"/>
      <c r="AA2495" s="47"/>
      <c r="AB2495" s="47"/>
      <c r="AC2495" s="47"/>
      <c r="AD2495" s="47"/>
      <c r="AE2495" s="47"/>
      <c r="AF2495" s="47"/>
      <c r="AG2495" s="47"/>
      <c r="AH2495" s="47"/>
      <c r="AI2495" s="47"/>
      <c r="AJ2495" s="47"/>
      <c r="AK2495" s="47"/>
      <c r="AL2495" s="47"/>
      <c r="AM2495" s="47"/>
      <c r="AN2495" s="47"/>
      <c r="AO2495" s="47"/>
      <c r="AP2495" s="47"/>
      <c r="AQ2495" s="47"/>
      <c r="AR2495" s="47"/>
      <c r="AS2495" s="47"/>
      <c r="AT2495" s="47"/>
      <c r="AU2495" s="47"/>
      <c r="AV2495" s="47"/>
    </row>
    <row r="2496" spans="1:48" s="27" customFormat="1" ht="16.5" customHeight="1">
      <c r="A2496" s="12"/>
      <c r="B2496" s="97" t="s">
        <v>871</v>
      </c>
      <c r="C2496" s="15" t="s">
        <v>872</v>
      </c>
      <c r="D2496" s="51"/>
      <c r="E2496" s="51"/>
      <c r="F2496" s="51" t="s">
        <v>556</v>
      </c>
      <c r="G2496" s="51">
        <v>2</v>
      </c>
      <c r="H2496" s="51">
        <v>2</v>
      </c>
      <c r="I2496" s="51">
        <v>2</v>
      </c>
      <c r="J2496" s="51">
        <v>2</v>
      </c>
      <c r="K2496" s="51">
        <v>2</v>
      </c>
      <c r="L2496" s="40">
        <v>1</v>
      </c>
      <c r="M2496" s="40" t="s">
        <v>556</v>
      </c>
      <c r="N2496" s="40">
        <v>1</v>
      </c>
      <c r="O2496" s="40" t="s">
        <v>556</v>
      </c>
      <c r="P2496" s="40">
        <v>1</v>
      </c>
      <c r="Q2496" s="30"/>
      <c r="R2496" s="30"/>
      <c r="S2496" s="30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</row>
    <row r="2497" spans="1:48" s="27" customFormat="1" ht="16.5" customHeight="1">
      <c r="A2497" s="12"/>
      <c r="B2497" s="97" t="s">
        <v>1008</v>
      </c>
      <c r="C2497" s="15" t="s">
        <v>1009</v>
      </c>
      <c r="D2497" s="51"/>
      <c r="E2497" s="51"/>
      <c r="F2497" s="51"/>
      <c r="G2497" s="51">
        <v>6</v>
      </c>
      <c r="H2497" s="51">
        <v>6</v>
      </c>
      <c r="I2497" s="51">
        <v>6</v>
      </c>
      <c r="J2497" s="51">
        <v>6</v>
      </c>
      <c r="K2497" s="51">
        <v>6</v>
      </c>
      <c r="L2497" s="40" t="s">
        <v>556</v>
      </c>
      <c r="M2497" s="40">
        <v>1</v>
      </c>
      <c r="N2497" s="40">
        <v>4</v>
      </c>
      <c r="O2497" s="40" t="s">
        <v>556</v>
      </c>
      <c r="P2497" s="40" t="s">
        <v>556</v>
      </c>
      <c r="Q2497" s="30"/>
      <c r="R2497" s="30"/>
      <c r="S2497" s="30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</row>
    <row r="2498" spans="1:48" s="27" customFormat="1" ht="16.5" customHeight="1">
      <c r="A2498" s="12"/>
      <c r="B2498" s="97" t="s">
        <v>1011</v>
      </c>
      <c r="C2498" s="15" t="s">
        <v>1010</v>
      </c>
      <c r="D2498" s="51"/>
      <c r="E2498" s="51"/>
      <c r="F2498" s="51"/>
      <c r="G2498" s="51">
        <v>15</v>
      </c>
      <c r="H2498" s="51">
        <v>15</v>
      </c>
      <c r="I2498" s="51">
        <v>15</v>
      </c>
      <c r="J2498" s="51">
        <v>15</v>
      </c>
      <c r="K2498" s="51">
        <v>15</v>
      </c>
      <c r="L2498" s="40">
        <v>4</v>
      </c>
      <c r="M2498" s="40">
        <v>4</v>
      </c>
      <c r="N2498" s="40">
        <v>7</v>
      </c>
      <c r="O2498" s="40">
        <v>4</v>
      </c>
      <c r="P2498" s="40">
        <v>4</v>
      </c>
      <c r="Q2498" s="30"/>
      <c r="R2498" s="30"/>
      <c r="S2498" s="30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</row>
    <row r="2499" spans="1:48" s="27" customFormat="1" ht="16.5" customHeight="1">
      <c r="A2499" s="12"/>
      <c r="B2499" s="106" t="s">
        <v>40</v>
      </c>
      <c r="C2499" s="66" t="s">
        <v>39</v>
      </c>
      <c r="D2499" s="51"/>
      <c r="E2499" s="51"/>
      <c r="F2499" s="51"/>
      <c r="G2499" s="51">
        <v>43</v>
      </c>
      <c r="H2499" s="51">
        <v>43</v>
      </c>
      <c r="I2499" s="51">
        <v>43</v>
      </c>
      <c r="J2499" s="51">
        <v>43</v>
      </c>
      <c r="K2499" s="51">
        <v>43</v>
      </c>
      <c r="L2499" s="40">
        <v>14</v>
      </c>
      <c r="M2499" s="40">
        <v>18</v>
      </c>
      <c r="N2499" s="40">
        <v>14</v>
      </c>
      <c r="O2499" s="40">
        <v>18</v>
      </c>
      <c r="P2499" s="40">
        <v>15</v>
      </c>
      <c r="Q2499" s="30"/>
      <c r="R2499" s="30"/>
      <c r="S2499" s="30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</row>
    <row r="2500" spans="1:48" s="27" customFormat="1" ht="16.5" customHeight="1">
      <c r="A2500" s="12"/>
      <c r="B2500" s="109" t="s">
        <v>114</v>
      </c>
      <c r="C2500" s="66" t="s">
        <v>113</v>
      </c>
      <c r="D2500" s="51"/>
      <c r="E2500" s="51"/>
      <c r="F2500" s="51"/>
      <c r="G2500" s="51">
        <v>14</v>
      </c>
      <c r="H2500" s="51">
        <v>14</v>
      </c>
      <c r="I2500" s="51">
        <v>14</v>
      </c>
      <c r="J2500" s="51">
        <v>14</v>
      </c>
      <c r="K2500" s="51">
        <v>14</v>
      </c>
      <c r="L2500" s="40">
        <v>1</v>
      </c>
      <c r="M2500" s="40">
        <v>7</v>
      </c>
      <c r="N2500" s="40">
        <v>4</v>
      </c>
      <c r="O2500" s="40">
        <v>1</v>
      </c>
      <c r="P2500" s="40">
        <v>3</v>
      </c>
      <c r="Q2500" s="30"/>
      <c r="R2500" s="30"/>
      <c r="S2500" s="30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</row>
    <row r="2501" spans="1:48" s="27" customFormat="1" ht="16.5" customHeight="1">
      <c r="A2501" s="12"/>
      <c r="B2501" s="109" t="s">
        <v>111</v>
      </c>
      <c r="C2501" s="66" t="s">
        <v>112</v>
      </c>
      <c r="D2501" s="51"/>
      <c r="E2501" s="51"/>
      <c r="F2501" s="51"/>
      <c r="G2501" s="51">
        <v>1</v>
      </c>
      <c r="H2501" s="51">
        <v>1</v>
      </c>
      <c r="I2501" s="51">
        <v>1</v>
      </c>
      <c r="J2501" s="51">
        <v>1</v>
      </c>
      <c r="K2501" s="51">
        <v>1</v>
      </c>
      <c r="L2501" s="40" t="s">
        <v>556</v>
      </c>
      <c r="M2501" s="40">
        <v>1</v>
      </c>
      <c r="N2501" s="40" t="s">
        <v>556</v>
      </c>
      <c r="O2501" s="40">
        <v>1</v>
      </c>
      <c r="P2501" s="40" t="s">
        <v>556</v>
      </c>
      <c r="Q2501" s="30"/>
      <c r="R2501" s="30"/>
      <c r="S2501" s="30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</row>
    <row r="2502" spans="1:48" s="27" customFormat="1" ht="16.5" customHeight="1">
      <c r="A2502" s="12"/>
      <c r="B2502" s="106" t="s">
        <v>1045</v>
      </c>
      <c r="C2502" s="66" t="s">
        <v>1046</v>
      </c>
      <c r="D2502" s="51"/>
      <c r="E2502" s="51"/>
      <c r="F2502" s="51"/>
      <c r="G2502" s="51">
        <v>2</v>
      </c>
      <c r="H2502" s="51">
        <v>2</v>
      </c>
      <c r="I2502" s="51">
        <v>2</v>
      </c>
      <c r="J2502" s="51">
        <v>2</v>
      </c>
      <c r="K2502" s="51">
        <v>2</v>
      </c>
      <c r="L2502" s="40" t="s">
        <v>556</v>
      </c>
      <c r="M2502" s="40" t="s">
        <v>556</v>
      </c>
      <c r="N2502" s="40">
        <v>1</v>
      </c>
      <c r="O2502" s="40">
        <v>1</v>
      </c>
      <c r="P2502" s="40" t="s">
        <v>556</v>
      </c>
      <c r="Q2502" s="30"/>
      <c r="R2502" s="30"/>
      <c r="S2502" s="30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</row>
    <row r="2503" spans="1:48" s="27" customFormat="1" ht="16.5" customHeight="1">
      <c r="A2503" s="12"/>
      <c r="B2503" s="106" t="s">
        <v>1018</v>
      </c>
      <c r="C2503" s="66" t="s">
        <v>1019</v>
      </c>
      <c r="D2503" s="51"/>
      <c r="E2503" s="51"/>
      <c r="F2503" s="51"/>
      <c r="G2503" s="51">
        <v>1</v>
      </c>
      <c r="H2503" s="51">
        <v>1</v>
      </c>
      <c r="I2503" s="51">
        <v>1</v>
      </c>
      <c r="J2503" s="51">
        <v>1</v>
      </c>
      <c r="K2503" s="51">
        <v>1</v>
      </c>
      <c r="L2503" s="40" t="s">
        <v>556</v>
      </c>
      <c r="M2503" s="40" t="s">
        <v>556</v>
      </c>
      <c r="N2503" s="40" t="s">
        <v>556</v>
      </c>
      <c r="O2503" s="40">
        <v>1</v>
      </c>
      <c r="P2503" s="40" t="s">
        <v>556</v>
      </c>
      <c r="Q2503" s="30"/>
      <c r="R2503" s="30"/>
      <c r="S2503" s="30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</row>
    <row r="2504" spans="1:48" s="27" customFormat="1" ht="16.5" customHeight="1">
      <c r="A2504" s="12"/>
      <c r="B2504" s="97" t="s">
        <v>38</v>
      </c>
      <c r="C2504" s="66" t="s">
        <v>457</v>
      </c>
      <c r="D2504" s="51"/>
      <c r="E2504" s="51"/>
      <c r="F2504" s="51"/>
      <c r="G2504" s="51">
        <v>1</v>
      </c>
      <c r="H2504" s="51">
        <v>1</v>
      </c>
      <c r="I2504" s="51">
        <v>1</v>
      </c>
      <c r="J2504" s="51">
        <v>1</v>
      </c>
      <c r="K2504" s="51">
        <v>1</v>
      </c>
      <c r="L2504" s="40" t="s">
        <v>556</v>
      </c>
      <c r="M2504" s="40">
        <v>1</v>
      </c>
      <c r="N2504" s="40" t="s">
        <v>556</v>
      </c>
      <c r="O2504" s="40">
        <v>1</v>
      </c>
      <c r="P2504" s="40" t="s">
        <v>556</v>
      </c>
      <c r="Q2504" s="30"/>
      <c r="R2504" s="30"/>
      <c r="S2504" s="30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</row>
    <row r="2505" spans="1:188" s="57" customFormat="1" ht="16.5" customHeight="1">
      <c r="A2505" s="13">
        <v>5</v>
      </c>
      <c r="B2505" s="108" t="s">
        <v>372</v>
      </c>
      <c r="C2505" s="45"/>
      <c r="D2505" s="44">
        <v>1542</v>
      </c>
      <c r="E2505" s="44">
        <v>67</v>
      </c>
      <c r="F2505" s="44">
        <v>1587</v>
      </c>
      <c r="G2505" s="44">
        <v>1542</v>
      </c>
      <c r="H2505" s="44">
        <v>1540</v>
      </c>
      <c r="I2505" s="44">
        <v>1540</v>
      </c>
      <c r="J2505" s="44">
        <v>1538</v>
      </c>
      <c r="K2505" s="44">
        <v>1538</v>
      </c>
      <c r="L2505" s="44">
        <f>SUM(L2506,L2512)</f>
        <v>64</v>
      </c>
      <c r="M2505" s="44">
        <f>SUM(M2506,M2512)</f>
        <v>60</v>
      </c>
      <c r="N2505" s="44">
        <f>SUM(N2506,N2512)</f>
        <v>69</v>
      </c>
      <c r="O2505" s="44">
        <f>SUM(O2506,O2512)</f>
        <v>55</v>
      </c>
      <c r="P2505" s="44">
        <f>SUM(P2506,P2512)</f>
        <v>61</v>
      </c>
      <c r="Q2505" s="54" t="s">
        <v>649</v>
      </c>
      <c r="R2505" s="54">
        <v>1</v>
      </c>
      <c r="S2505" s="55" t="s">
        <v>668</v>
      </c>
      <c r="T2505" s="56"/>
      <c r="U2505" s="56"/>
      <c r="V2505" s="56"/>
      <c r="W2505" s="56"/>
      <c r="X2505" s="56"/>
      <c r="Y2505" s="56"/>
      <c r="Z2505" s="56"/>
      <c r="AA2505" s="56"/>
      <c r="AB2505" s="56"/>
      <c r="AC2505" s="56"/>
      <c r="AD2505" s="56"/>
      <c r="AE2505" s="56"/>
      <c r="AF2505" s="56"/>
      <c r="AG2505" s="56"/>
      <c r="AH2505" s="56"/>
      <c r="AI2505" s="56"/>
      <c r="AJ2505" s="56"/>
      <c r="AK2505" s="56"/>
      <c r="AL2505" s="56"/>
      <c r="AM2505" s="56"/>
      <c r="AN2505" s="56"/>
      <c r="AO2505" s="56"/>
      <c r="AP2505" s="56"/>
      <c r="AQ2505" s="56"/>
      <c r="AR2505" s="56"/>
      <c r="AS2505" s="56"/>
      <c r="AT2505" s="56"/>
      <c r="AU2505" s="56"/>
      <c r="AV2505" s="56"/>
      <c r="AW2505" s="56"/>
      <c r="AX2505" s="56"/>
      <c r="AY2505" s="56"/>
      <c r="AZ2505" s="56"/>
      <c r="BA2505" s="56"/>
      <c r="BB2505" s="56"/>
      <c r="BC2505" s="56"/>
      <c r="BD2505" s="56"/>
      <c r="BE2505" s="56"/>
      <c r="BF2505" s="56"/>
      <c r="BG2505" s="56"/>
      <c r="BH2505" s="56"/>
      <c r="BI2505" s="56"/>
      <c r="BJ2505" s="56"/>
      <c r="BK2505" s="56"/>
      <c r="BL2505" s="56"/>
      <c r="BM2505" s="56"/>
      <c r="BN2505" s="56"/>
      <c r="BO2505" s="56"/>
      <c r="BP2505" s="56"/>
      <c r="BQ2505" s="56"/>
      <c r="BR2505" s="56"/>
      <c r="BS2505" s="56"/>
      <c r="BT2505" s="56"/>
      <c r="BU2505" s="56"/>
      <c r="BV2505" s="56"/>
      <c r="BW2505" s="56"/>
      <c r="BX2505" s="56"/>
      <c r="BY2505" s="56"/>
      <c r="BZ2505" s="56"/>
      <c r="CA2505" s="56"/>
      <c r="CB2505" s="56"/>
      <c r="CC2505" s="56"/>
      <c r="CD2505" s="56"/>
      <c r="CE2505" s="56"/>
      <c r="CF2505" s="56"/>
      <c r="CG2505" s="56"/>
      <c r="CH2505" s="56"/>
      <c r="CI2505" s="56"/>
      <c r="CJ2505" s="56"/>
      <c r="CK2505" s="56"/>
      <c r="CL2505" s="56"/>
      <c r="CM2505" s="56"/>
      <c r="CN2505" s="56"/>
      <c r="CO2505" s="56"/>
      <c r="CP2505" s="56"/>
      <c r="CQ2505" s="56"/>
      <c r="CR2505" s="56"/>
      <c r="CS2505" s="56"/>
      <c r="CT2505" s="56"/>
      <c r="CU2505" s="56"/>
      <c r="CV2505" s="56"/>
      <c r="CW2505" s="56"/>
      <c r="CX2505" s="56"/>
      <c r="CY2505" s="56"/>
      <c r="CZ2505" s="56"/>
      <c r="DA2505" s="56"/>
      <c r="DB2505" s="56"/>
      <c r="DC2505" s="56"/>
      <c r="DD2505" s="56"/>
      <c r="DE2505" s="56"/>
      <c r="DF2505" s="56"/>
      <c r="DG2505" s="56"/>
      <c r="DH2505" s="56"/>
      <c r="DI2505" s="56"/>
      <c r="DJ2505" s="56"/>
      <c r="DK2505" s="56"/>
      <c r="DL2505" s="56"/>
      <c r="DM2505" s="56"/>
      <c r="DN2505" s="56"/>
      <c r="DO2505" s="56"/>
      <c r="DP2505" s="56"/>
      <c r="DQ2505" s="56"/>
      <c r="DR2505" s="56"/>
      <c r="DS2505" s="56"/>
      <c r="DT2505" s="56"/>
      <c r="DU2505" s="56"/>
      <c r="DV2505" s="56"/>
      <c r="DW2505" s="56"/>
      <c r="DX2505" s="56"/>
      <c r="DY2505" s="56"/>
      <c r="DZ2505" s="56"/>
      <c r="EA2505" s="56"/>
      <c r="EB2505" s="56"/>
      <c r="EC2505" s="56"/>
      <c r="ED2505" s="56"/>
      <c r="EE2505" s="56"/>
      <c r="EF2505" s="56"/>
      <c r="EG2505" s="56"/>
      <c r="EH2505" s="56"/>
      <c r="EI2505" s="56"/>
      <c r="EJ2505" s="56"/>
      <c r="EK2505" s="56"/>
      <c r="EL2505" s="56"/>
      <c r="EM2505" s="56"/>
      <c r="EN2505" s="56"/>
      <c r="EO2505" s="56"/>
      <c r="EP2505" s="56"/>
      <c r="EQ2505" s="56"/>
      <c r="ER2505" s="56"/>
      <c r="ES2505" s="56"/>
      <c r="ET2505" s="56"/>
      <c r="EU2505" s="56"/>
      <c r="EV2505" s="56"/>
      <c r="EW2505" s="56"/>
      <c r="EX2505" s="56"/>
      <c r="EY2505" s="56"/>
      <c r="EZ2505" s="56"/>
      <c r="FA2505" s="56"/>
      <c r="FB2505" s="56"/>
      <c r="FC2505" s="56"/>
      <c r="FD2505" s="56"/>
      <c r="FE2505" s="56"/>
      <c r="FF2505" s="56"/>
      <c r="FG2505" s="56"/>
      <c r="FH2505" s="56"/>
      <c r="FI2505" s="56"/>
      <c r="FJ2505" s="56"/>
      <c r="FK2505" s="56"/>
      <c r="FL2505" s="56"/>
      <c r="FM2505" s="56"/>
      <c r="FN2505" s="56"/>
      <c r="FO2505" s="56"/>
      <c r="FP2505" s="56"/>
      <c r="FQ2505" s="56"/>
      <c r="FR2505" s="56"/>
      <c r="FS2505" s="56"/>
      <c r="FT2505" s="56"/>
      <c r="FU2505" s="56"/>
      <c r="FV2505" s="56"/>
      <c r="FW2505" s="56"/>
      <c r="FX2505" s="56"/>
      <c r="FY2505" s="56"/>
      <c r="FZ2505" s="56"/>
      <c r="GA2505" s="56"/>
      <c r="GB2505" s="56"/>
      <c r="GC2505" s="56"/>
      <c r="GD2505" s="56"/>
      <c r="GE2505" s="56"/>
      <c r="GF2505" s="56"/>
    </row>
    <row r="2506" spans="1:48" s="18" customFormat="1" ht="16.5" customHeight="1">
      <c r="A2506" s="50"/>
      <c r="B2506" s="93" t="s">
        <v>669</v>
      </c>
      <c r="C2506" s="16"/>
      <c r="D2506" s="52"/>
      <c r="E2506" s="52"/>
      <c r="F2506" s="52"/>
      <c r="G2506" s="52"/>
      <c r="H2506" s="52"/>
      <c r="I2506" s="52"/>
      <c r="J2506" s="52"/>
      <c r="K2506" s="52"/>
      <c r="L2506" s="60">
        <f>SUM(L2507:L2511)</f>
        <v>46</v>
      </c>
      <c r="M2506" s="60">
        <f>SUM(M2507:M2511)</f>
        <v>43</v>
      </c>
      <c r="N2506" s="60">
        <f>SUM(N2507:N2511)</f>
        <v>43</v>
      </c>
      <c r="O2506" s="60">
        <f>SUM(O2507:O2511)</f>
        <v>40</v>
      </c>
      <c r="P2506" s="60">
        <f>SUM(P2507:P2511)</f>
        <v>44</v>
      </c>
      <c r="Q2506" s="23"/>
      <c r="R2506" s="23"/>
      <c r="S2506" s="17"/>
      <c r="T2506" s="47"/>
      <c r="U2506" s="47"/>
      <c r="V2506" s="47"/>
      <c r="W2506" s="47"/>
      <c r="X2506" s="47"/>
      <c r="Y2506" s="47"/>
      <c r="Z2506" s="47"/>
      <c r="AA2506" s="47"/>
      <c r="AB2506" s="47"/>
      <c r="AC2506" s="47"/>
      <c r="AD2506" s="47"/>
      <c r="AE2506" s="47"/>
      <c r="AF2506" s="47"/>
      <c r="AG2506" s="47"/>
      <c r="AH2506" s="47"/>
      <c r="AI2506" s="47"/>
      <c r="AJ2506" s="47"/>
      <c r="AK2506" s="47"/>
      <c r="AL2506" s="47"/>
      <c r="AM2506" s="47"/>
      <c r="AN2506" s="47"/>
      <c r="AO2506" s="47"/>
      <c r="AP2506" s="47"/>
      <c r="AQ2506" s="47"/>
      <c r="AR2506" s="47"/>
      <c r="AS2506" s="47"/>
      <c r="AT2506" s="47"/>
      <c r="AU2506" s="47"/>
      <c r="AV2506" s="47"/>
    </row>
    <row r="2507" spans="1:48" s="27" customFormat="1" ht="16.5" customHeight="1">
      <c r="A2507" s="12"/>
      <c r="B2507" s="97" t="s">
        <v>31</v>
      </c>
      <c r="C2507" s="29" t="s">
        <v>32</v>
      </c>
      <c r="D2507" s="51"/>
      <c r="E2507" s="51"/>
      <c r="F2507" s="51">
        <v>610</v>
      </c>
      <c r="G2507" s="51">
        <v>727</v>
      </c>
      <c r="H2507" s="51">
        <v>725</v>
      </c>
      <c r="I2507" s="51">
        <v>725</v>
      </c>
      <c r="J2507" s="51">
        <v>725</v>
      </c>
      <c r="K2507" s="51">
        <v>725</v>
      </c>
      <c r="L2507" s="40">
        <v>40</v>
      </c>
      <c r="M2507" s="40">
        <v>38</v>
      </c>
      <c r="N2507" s="40">
        <v>35</v>
      </c>
      <c r="O2507" s="40">
        <v>35</v>
      </c>
      <c r="P2507" s="40">
        <v>40</v>
      </c>
      <c r="Q2507" s="30"/>
      <c r="R2507" s="30"/>
      <c r="S2507" s="30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</row>
    <row r="2508" spans="1:48" s="27" customFormat="1" ht="16.5" customHeight="1">
      <c r="A2508" s="12"/>
      <c r="B2508" s="97" t="s">
        <v>560</v>
      </c>
      <c r="C2508" s="29" t="s">
        <v>1319</v>
      </c>
      <c r="D2508" s="51"/>
      <c r="E2508" s="51"/>
      <c r="F2508" s="51"/>
      <c r="G2508" s="51">
        <v>113</v>
      </c>
      <c r="H2508" s="51">
        <v>113</v>
      </c>
      <c r="I2508" s="51">
        <v>113</v>
      </c>
      <c r="J2508" s="51">
        <v>113</v>
      </c>
      <c r="K2508" s="51">
        <v>113</v>
      </c>
      <c r="L2508" s="40">
        <v>3</v>
      </c>
      <c r="M2508" s="40">
        <v>3</v>
      </c>
      <c r="N2508" s="40">
        <v>7</v>
      </c>
      <c r="O2508" s="40">
        <v>3</v>
      </c>
      <c r="P2508" s="40">
        <v>3</v>
      </c>
      <c r="Q2508" s="30"/>
      <c r="R2508" s="30"/>
      <c r="S2508" s="30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</row>
    <row r="2509" spans="1:48" s="27" customFormat="1" ht="16.5" customHeight="1">
      <c r="A2509" s="12"/>
      <c r="B2509" s="97" t="s">
        <v>644</v>
      </c>
      <c r="C2509" s="29" t="s">
        <v>645</v>
      </c>
      <c r="D2509" s="51"/>
      <c r="E2509" s="51"/>
      <c r="F2509" s="51"/>
      <c r="G2509" s="51">
        <v>5</v>
      </c>
      <c r="H2509" s="51">
        <v>5</v>
      </c>
      <c r="I2509" s="51">
        <v>5</v>
      </c>
      <c r="J2509" s="51">
        <v>5</v>
      </c>
      <c r="K2509" s="51">
        <v>5</v>
      </c>
      <c r="L2509" s="40">
        <v>1</v>
      </c>
      <c r="M2509" s="40">
        <v>2</v>
      </c>
      <c r="N2509" s="40">
        <v>1</v>
      </c>
      <c r="O2509" s="40">
        <v>1</v>
      </c>
      <c r="P2509" s="40">
        <v>1</v>
      </c>
      <c r="Q2509" s="30"/>
      <c r="R2509" s="30"/>
      <c r="S2509" s="30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</row>
    <row r="2510" spans="1:48" s="27" customFormat="1" ht="16.5" customHeight="1">
      <c r="A2510" s="12"/>
      <c r="B2510" s="97" t="s">
        <v>1038</v>
      </c>
      <c r="C2510" s="29" t="s">
        <v>1017</v>
      </c>
      <c r="D2510" s="51"/>
      <c r="E2510" s="51"/>
      <c r="F2510" s="51"/>
      <c r="G2510" s="51">
        <v>3</v>
      </c>
      <c r="H2510" s="51">
        <v>3</v>
      </c>
      <c r="I2510" s="51">
        <v>3</v>
      </c>
      <c r="J2510" s="51">
        <v>3</v>
      </c>
      <c r="K2510" s="51">
        <v>3</v>
      </c>
      <c r="L2510" s="40">
        <v>1</v>
      </c>
      <c r="M2510" s="40" t="s">
        <v>556</v>
      </c>
      <c r="N2510" s="40" t="s">
        <v>556</v>
      </c>
      <c r="O2510" s="40">
        <v>1</v>
      </c>
      <c r="P2510" s="40" t="s">
        <v>556</v>
      </c>
      <c r="Q2510" s="30"/>
      <c r="R2510" s="30"/>
      <c r="S2510" s="30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</row>
    <row r="2511" spans="1:48" s="27" customFormat="1" ht="16.5" customHeight="1">
      <c r="A2511" s="12"/>
      <c r="B2511" s="97" t="s">
        <v>1316</v>
      </c>
      <c r="C2511" s="29" t="s">
        <v>1317</v>
      </c>
      <c r="D2511" s="51"/>
      <c r="E2511" s="51"/>
      <c r="F2511" s="51"/>
      <c r="G2511" s="51">
        <v>1</v>
      </c>
      <c r="H2511" s="51">
        <v>1</v>
      </c>
      <c r="I2511" s="51">
        <v>1</v>
      </c>
      <c r="J2511" s="51">
        <v>2</v>
      </c>
      <c r="K2511" s="51">
        <v>2</v>
      </c>
      <c r="L2511" s="40">
        <v>1</v>
      </c>
      <c r="M2511" s="40" t="s">
        <v>556</v>
      </c>
      <c r="N2511" s="40" t="s">
        <v>556</v>
      </c>
      <c r="O2511" s="40" t="s">
        <v>556</v>
      </c>
      <c r="P2511" s="40" t="s">
        <v>556</v>
      </c>
      <c r="Q2511" s="30"/>
      <c r="R2511" s="30"/>
      <c r="S2511" s="30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</row>
    <row r="2512" spans="1:48" s="18" customFormat="1" ht="16.5" customHeight="1">
      <c r="A2512" s="50"/>
      <c r="B2512" s="93" t="s">
        <v>670</v>
      </c>
      <c r="C2512" s="16"/>
      <c r="D2512" s="52"/>
      <c r="E2512" s="52"/>
      <c r="F2512" s="52"/>
      <c r="G2512" s="52"/>
      <c r="H2512" s="52"/>
      <c r="I2512" s="52"/>
      <c r="J2512" s="52"/>
      <c r="K2512" s="52"/>
      <c r="L2512" s="60">
        <f>SUM(L2513:L2514)</f>
        <v>18</v>
      </c>
      <c r="M2512" s="60">
        <f>SUM(M2513:M2514)</f>
        <v>17</v>
      </c>
      <c r="N2512" s="60">
        <f>SUM(N2513:N2514)</f>
        <v>26</v>
      </c>
      <c r="O2512" s="60">
        <f>SUM(O2513:O2514)</f>
        <v>15</v>
      </c>
      <c r="P2512" s="60">
        <f>SUM(P2513:P2514)</f>
        <v>17</v>
      </c>
      <c r="Q2512" s="23"/>
      <c r="R2512" s="23"/>
      <c r="S2512" s="17"/>
      <c r="T2512" s="47"/>
      <c r="U2512" s="47"/>
      <c r="V2512" s="47"/>
      <c r="W2512" s="47"/>
      <c r="X2512" s="47"/>
      <c r="Y2512" s="47"/>
      <c r="Z2512" s="47"/>
      <c r="AA2512" s="47"/>
      <c r="AB2512" s="47"/>
      <c r="AC2512" s="47"/>
      <c r="AD2512" s="47"/>
      <c r="AE2512" s="47"/>
      <c r="AF2512" s="47"/>
      <c r="AG2512" s="47"/>
      <c r="AH2512" s="47"/>
      <c r="AI2512" s="47"/>
      <c r="AJ2512" s="47"/>
      <c r="AK2512" s="47"/>
      <c r="AL2512" s="47"/>
      <c r="AM2512" s="47"/>
      <c r="AN2512" s="47"/>
      <c r="AO2512" s="47"/>
      <c r="AP2512" s="47"/>
      <c r="AQ2512" s="47"/>
      <c r="AR2512" s="47"/>
      <c r="AS2512" s="47"/>
      <c r="AT2512" s="47"/>
      <c r="AU2512" s="47"/>
      <c r="AV2512" s="47"/>
    </row>
    <row r="2513" spans="1:48" s="27" customFormat="1" ht="16.5" customHeight="1">
      <c r="A2513" s="12"/>
      <c r="B2513" s="97" t="s">
        <v>1020</v>
      </c>
      <c r="C2513" s="29" t="s">
        <v>1021</v>
      </c>
      <c r="D2513" s="51"/>
      <c r="E2513" s="51"/>
      <c r="F2513" s="51"/>
      <c r="G2513" s="51">
        <v>491</v>
      </c>
      <c r="H2513" s="51">
        <v>491</v>
      </c>
      <c r="I2513" s="51">
        <v>491</v>
      </c>
      <c r="J2513" s="51">
        <v>491</v>
      </c>
      <c r="K2513" s="51">
        <v>491</v>
      </c>
      <c r="L2513" s="40">
        <v>17</v>
      </c>
      <c r="M2513" s="40">
        <v>17</v>
      </c>
      <c r="N2513" s="40">
        <v>20</v>
      </c>
      <c r="O2513" s="40">
        <v>14</v>
      </c>
      <c r="P2513" s="40">
        <v>17</v>
      </c>
      <c r="Q2513" s="30"/>
      <c r="R2513" s="30"/>
      <c r="S2513" s="30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</row>
    <row r="2514" spans="1:48" s="27" customFormat="1" ht="16.5" customHeight="1">
      <c r="A2514" s="12"/>
      <c r="B2514" s="97" t="s">
        <v>1022</v>
      </c>
      <c r="C2514" s="29" t="s">
        <v>1023</v>
      </c>
      <c r="D2514" s="51"/>
      <c r="E2514" s="51"/>
      <c r="F2514" s="51"/>
      <c r="G2514" s="51">
        <v>156</v>
      </c>
      <c r="H2514" s="51">
        <v>156</v>
      </c>
      <c r="I2514" s="51">
        <v>156</v>
      </c>
      <c r="J2514" s="51">
        <v>156</v>
      </c>
      <c r="K2514" s="51">
        <v>156</v>
      </c>
      <c r="L2514" s="40">
        <v>1</v>
      </c>
      <c r="M2514" s="40" t="s">
        <v>556</v>
      </c>
      <c r="N2514" s="40">
        <v>6</v>
      </c>
      <c r="O2514" s="40">
        <v>1</v>
      </c>
      <c r="P2514" s="40" t="s">
        <v>556</v>
      </c>
      <c r="Q2514" s="30"/>
      <c r="R2514" s="30"/>
      <c r="S2514" s="30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</row>
    <row r="2515" spans="1:19" ht="13.5" customHeight="1">
      <c r="A2515" s="400" t="s">
        <v>909</v>
      </c>
      <c r="B2515" s="400"/>
      <c r="C2515" s="400"/>
      <c r="D2515" s="400"/>
      <c r="E2515" s="400"/>
      <c r="F2515" s="400"/>
      <c r="G2515" s="400"/>
      <c r="H2515" s="400"/>
      <c r="I2515" s="400"/>
      <c r="J2515" s="400"/>
      <c r="K2515" s="400"/>
      <c r="L2515" s="400"/>
      <c r="M2515" s="400"/>
      <c r="N2515" s="400"/>
      <c r="O2515" s="400"/>
      <c r="P2515" s="400"/>
      <c r="Q2515" s="21"/>
      <c r="R2515" s="21"/>
      <c r="S2515" s="8"/>
    </row>
    <row r="2516" spans="1:188" s="57" customFormat="1" ht="17.25" customHeight="1">
      <c r="A2516" s="13">
        <v>6</v>
      </c>
      <c r="B2516" s="108" t="s">
        <v>506</v>
      </c>
      <c r="C2516" s="45"/>
      <c r="D2516" s="44">
        <v>2</v>
      </c>
      <c r="E2516" s="44"/>
      <c r="F2516" s="44">
        <v>37</v>
      </c>
      <c r="G2516" s="44">
        <v>2</v>
      </c>
      <c r="H2516" s="44">
        <v>2</v>
      </c>
      <c r="I2516" s="44">
        <v>3</v>
      </c>
      <c r="J2516" s="44">
        <v>3</v>
      </c>
      <c r="K2516" s="44">
        <v>3</v>
      </c>
      <c r="L2516" s="44" t="str">
        <f aca="true" t="shared" si="77" ref="L2516:P2517">L2517</f>
        <v> -</v>
      </c>
      <c r="M2516" s="44" t="str">
        <f t="shared" si="77"/>
        <v> -</v>
      </c>
      <c r="N2516" s="44">
        <f t="shared" si="77"/>
        <v>1</v>
      </c>
      <c r="O2516" s="44" t="str">
        <f t="shared" si="77"/>
        <v> -</v>
      </c>
      <c r="P2516" s="44" t="str">
        <f t="shared" si="77"/>
        <v> -</v>
      </c>
      <c r="Q2516" s="54" t="s">
        <v>649</v>
      </c>
      <c r="R2516" s="54">
        <v>1</v>
      </c>
      <c r="S2516" s="55" t="s">
        <v>668</v>
      </c>
      <c r="T2516" s="56"/>
      <c r="U2516" s="56"/>
      <c r="V2516" s="56"/>
      <c r="W2516" s="56"/>
      <c r="X2516" s="56"/>
      <c r="Y2516" s="56"/>
      <c r="Z2516" s="56"/>
      <c r="AA2516" s="56"/>
      <c r="AB2516" s="56"/>
      <c r="AC2516" s="56"/>
      <c r="AD2516" s="56"/>
      <c r="AE2516" s="56"/>
      <c r="AF2516" s="56"/>
      <c r="AG2516" s="56"/>
      <c r="AH2516" s="56"/>
      <c r="AI2516" s="56"/>
      <c r="AJ2516" s="56"/>
      <c r="AK2516" s="56"/>
      <c r="AL2516" s="56"/>
      <c r="AM2516" s="56"/>
      <c r="AN2516" s="56"/>
      <c r="AO2516" s="56"/>
      <c r="AP2516" s="56"/>
      <c r="AQ2516" s="56"/>
      <c r="AR2516" s="56"/>
      <c r="AS2516" s="56"/>
      <c r="AT2516" s="56"/>
      <c r="AU2516" s="56"/>
      <c r="AV2516" s="56"/>
      <c r="AW2516" s="56"/>
      <c r="AX2516" s="56"/>
      <c r="AY2516" s="56"/>
      <c r="AZ2516" s="56"/>
      <c r="BA2516" s="56"/>
      <c r="BB2516" s="56"/>
      <c r="BC2516" s="56"/>
      <c r="BD2516" s="56"/>
      <c r="BE2516" s="56"/>
      <c r="BF2516" s="56"/>
      <c r="BG2516" s="56"/>
      <c r="BH2516" s="56"/>
      <c r="BI2516" s="56"/>
      <c r="BJ2516" s="56"/>
      <c r="BK2516" s="56"/>
      <c r="BL2516" s="56"/>
      <c r="BM2516" s="56"/>
      <c r="BN2516" s="56"/>
      <c r="BO2516" s="56"/>
      <c r="BP2516" s="56"/>
      <c r="BQ2516" s="56"/>
      <c r="BR2516" s="56"/>
      <c r="BS2516" s="56"/>
      <c r="BT2516" s="56"/>
      <c r="BU2516" s="56"/>
      <c r="BV2516" s="56"/>
      <c r="BW2516" s="56"/>
      <c r="BX2516" s="56"/>
      <c r="BY2516" s="56"/>
      <c r="BZ2516" s="56"/>
      <c r="CA2516" s="56"/>
      <c r="CB2516" s="56"/>
      <c r="CC2516" s="56"/>
      <c r="CD2516" s="56"/>
      <c r="CE2516" s="56"/>
      <c r="CF2516" s="56"/>
      <c r="CG2516" s="56"/>
      <c r="CH2516" s="56"/>
      <c r="CI2516" s="56"/>
      <c r="CJ2516" s="56"/>
      <c r="CK2516" s="56"/>
      <c r="CL2516" s="56"/>
      <c r="CM2516" s="56"/>
      <c r="CN2516" s="56"/>
      <c r="CO2516" s="56"/>
      <c r="CP2516" s="56"/>
      <c r="CQ2516" s="56"/>
      <c r="CR2516" s="56"/>
      <c r="CS2516" s="56"/>
      <c r="CT2516" s="56"/>
      <c r="CU2516" s="56"/>
      <c r="CV2516" s="56"/>
      <c r="CW2516" s="56"/>
      <c r="CX2516" s="56"/>
      <c r="CY2516" s="56"/>
      <c r="CZ2516" s="56"/>
      <c r="DA2516" s="56"/>
      <c r="DB2516" s="56"/>
      <c r="DC2516" s="56"/>
      <c r="DD2516" s="56"/>
      <c r="DE2516" s="56"/>
      <c r="DF2516" s="56"/>
      <c r="DG2516" s="56"/>
      <c r="DH2516" s="56"/>
      <c r="DI2516" s="56"/>
      <c r="DJ2516" s="56"/>
      <c r="DK2516" s="56"/>
      <c r="DL2516" s="56"/>
      <c r="DM2516" s="56"/>
      <c r="DN2516" s="56"/>
      <c r="DO2516" s="56"/>
      <c r="DP2516" s="56"/>
      <c r="DQ2516" s="56"/>
      <c r="DR2516" s="56"/>
      <c r="DS2516" s="56"/>
      <c r="DT2516" s="56"/>
      <c r="DU2516" s="56"/>
      <c r="DV2516" s="56"/>
      <c r="DW2516" s="56"/>
      <c r="DX2516" s="56"/>
      <c r="DY2516" s="56"/>
      <c r="DZ2516" s="56"/>
      <c r="EA2516" s="56"/>
      <c r="EB2516" s="56"/>
      <c r="EC2516" s="56"/>
      <c r="ED2516" s="56"/>
      <c r="EE2516" s="56"/>
      <c r="EF2516" s="56"/>
      <c r="EG2516" s="56"/>
      <c r="EH2516" s="56"/>
      <c r="EI2516" s="56"/>
      <c r="EJ2516" s="56"/>
      <c r="EK2516" s="56"/>
      <c r="EL2516" s="56"/>
      <c r="EM2516" s="56"/>
      <c r="EN2516" s="56"/>
      <c r="EO2516" s="56"/>
      <c r="EP2516" s="56"/>
      <c r="EQ2516" s="56"/>
      <c r="ER2516" s="56"/>
      <c r="ES2516" s="56"/>
      <c r="ET2516" s="56"/>
      <c r="EU2516" s="56"/>
      <c r="EV2516" s="56"/>
      <c r="EW2516" s="56"/>
      <c r="EX2516" s="56"/>
      <c r="EY2516" s="56"/>
      <c r="EZ2516" s="56"/>
      <c r="FA2516" s="56"/>
      <c r="FB2516" s="56"/>
      <c r="FC2516" s="56"/>
      <c r="FD2516" s="56"/>
      <c r="FE2516" s="56"/>
      <c r="FF2516" s="56"/>
      <c r="FG2516" s="56"/>
      <c r="FH2516" s="56"/>
      <c r="FI2516" s="56"/>
      <c r="FJ2516" s="56"/>
      <c r="FK2516" s="56"/>
      <c r="FL2516" s="56"/>
      <c r="FM2516" s="56"/>
      <c r="FN2516" s="56"/>
      <c r="FO2516" s="56"/>
      <c r="FP2516" s="56"/>
      <c r="FQ2516" s="56"/>
      <c r="FR2516" s="56"/>
      <c r="FS2516" s="56"/>
      <c r="FT2516" s="56"/>
      <c r="FU2516" s="56"/>
      <c r="FV2516" s="56"/>
      <c r="FW2516" s="56"/>
      <c r="FX2516" s="56"/>
      <c r="FY2516" s="56"/>
      <c r="FZ2516" s="56"/>
      <c r="GA2516" s="56"/>
      <c r="GB2516" s="56"/>
      <c r="GC2516" s="56"/>
      <c r="GD2516" s="56"/>
      <c r="GE2516" s="56"/>
      <c r="GF2516" s="56"/>
    </row>
    <row r="2517" spans="1:48" s="18" customFormat="1" ht="17.25" customHeight="1">
      <c r="A2517" s="50"/>
      <c r="B2517" s="93" t="s">
        <v>669</v>
      </c>
      <c r="C2517" s="16"/>
      <c r="D2517" s="52"/>
      <c r="E2517" s="52"/>
      <c r="F2517" s="52"/>
      <c r="G2517" s="52"/>
      <c r="H2517" s="52"/>
      <c r="I2517" s="52"/>
      <c r="J2517" s="52"/>
      <c r="K2517" s="52"/>
      <c r="L2517" s="60" t="str">
        <f t="shared" si="77"/>
        <v> -</v>
      </c>
      <c r="M2517" s="60" t="str">
        <f t="shared" si="77"/>
        <v> -</v>
      </c>
      <c r="N2517" s="60">
        <f t="shared" si="77"/>
        <v>1</v>
      </c>
      <c r="O2517" s="60" t="str">
        <f t="shared" si="77"/>
        <v> -</v>
      </c>
      <c r="P2517" s="60" t="str">
        <f t="shared" si="77"/>
        <v> -</v>
      </c>
      <c r="Q2517" s="23"/>
      <c r="R2517" s="23"/>
      <c r="S2517" s="17"/>
      <c r="T2517" s="47"/>
      <c r="U2517" s="47"/>
      <c r="V2517" s="47"/>
      <c r="W2517" s="47"/>
      <c r="X2517" s="47"/>
      <c r="Y2517" s="47"/>
      <c r="Z2517" s="47"/>
      <c r="AA2517" s="47"/>
      <c r="AB2517" s="47"/>
      <c r="AC2517" s="47"/>
      <c r="AD2517" s="47"/>
      <c r="AE2517" s="47"/>
      <c r="AF2517" s="47"/>
      <c r="AG2517" s="47"/>
      <c r="AH2517" s="47"/>
      <c r="AI2517" s="47"/>
      <c r="AJ2517" s="47"/>
      <c r="AK2517" s="47"/>
      <c r="AL2517" s="47"/>
      <c r="AM2517" s="47"/>
      <c r="AN2517" s="47"/>
      <c r="AO2517" s="47"/>
      <c r="AP2517" s="47"/>
      <c r="AQ2517" s="47"/>
      <c r="AR2517" s="47"/>
      <c r="AS2517" s="47"/>
      <c r="AT2517" s="47"/>
      <c r="AU2517" s="47"/>
      <c r="AV2517" s="47"/>
    </row>
    <row r="2518" spans="1:48" s="27" customFormat="1" ht="17.25" customHeight="1">
      <c r="A2518" s="12"/>
      <c r="B2518" s="97" t="s">
        <v>1321</v>
      </c>
      <c r="C2518" s="15" t="s">
        <v>1323</v>
      </c>
      <c r="D2518" s="51"/>
      <c r="E2518" s="51"/>
      <c r="F2518" s="51">
        <v>5</v>
      </c>
      <c r="G2518" s="51"/>
      <c r="H2518" s="51"/>
      <c r="I2518" s="51"/>
      <c r="J2518" s="51"/>
      <c r="K2518" s="51"/>
      <c r="L2518" s="40" t="s">
        <v>556</v>
      </c>
      <c r="M2518" s="40" t="s">
        <v>556</v>
      </c>
      <c r="N2518" s="40">
        <v>1</v>
      </c>
      <c r="O2518" s="40" t="s">
        <v>556</v>
      </c>
      <c r="P2518" s="40" t="s">
        <v>556</v>
      </c>
      <c r="Q2518" s="30"/>
      <c r="R2518" s="30"/>
      <c r="S2518" s="30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</row>
    <row r="2519" spans="1:188" s="57" customFormat="1" ht="17.25" customHeight="1">
      <c r="A2519" s="13">
        <v>7</v>
      </c>
      <c r="B2519" s="108" t="s">
        <v>1024</v>
      </c>
      <c r="C2519" s="45"/>
      <c r="D2519" s="44">
        <v>22</v>
      </c>
      <c r="E2519" s="44">
        <v>7</v>
      </c>
      <c r="F2519" s="44">
        <v>37</v>
      </c>
      <c r="G2519" s="44">
        <v>26</v>
      </c>
      <c r="H2519" s="44">
        <v>29</v>
      </c>
      <c r="I2519" s="44">
        <v>30</v>
      </c>
      <c r="J2519" s="44">
        <v>32</v>
      </c>
      <c r="K2519" s="44">
        <v>32</v>
      </c>
      <c r="L2519" s="44">
        <v>3</v>
      </c>
      <c r="M2519" s="44">
        <v>4</v>
      </c>
      <c r="N2519" s="44">
        <v>4</v>
      </c>
      <c r="O2519" s="44">
        <v>4</v>
      </c>
      <c r="P2519" s="44">
        <v>4</v>
      </c>
      <c r="Q2519" s="54" t="s">
        <v>649</v>
      </c>
      <c r="R2519" s="54">
        <v>1</v>
      </c>
      <c r="S2519" s="55" t="s">
        <v>668</v>
      </c>
      <c r="T2519" s="56"/>
      <c r="U2519" s="56"/>
      <c r="V2519" s="56"/>
      <c r="W2519" s="56"/>
      <c r="X2519" s="56"/>
      <c r="Y2519" s="56"/>
      <c r="Z2519" s="56"/>
      <c r="AA2519" s="56"/>
      <c r="AB2519" s="56"/>
      <c r="AC2519" s="56"/>
      <c r="AD2519" s="56"/>
      <c r="AE2519" s="56"/>
      <c r="AF2519" s="56"/>
      <c r="AG2519" s="56"/>
      <c r="AH2519" s="56"/>
      <c r="AI2519" s="56"/>
      <c r="AJ2519" s="56"/>
      <c r="AK2519" s="56"/>
      <c r="AL2519" s="56"/>
      <c r="AM2519" s="56"/>
      <c r="AN2519" s="56"/>
      <c r="AO2519" s="56"/>
      <c r="AP2519" s="56"/>
      <c r="AQ2519" s="56"/>
      <c r="AR2519" s="56"/>
      <c r="AS2519" s="56"/>
      <c r="AT2519" s="56"/>
      <c r="AU2519" s="56"/>
      <c r="AV2519" s="56"/>
      <c r="AW2519" s="56"/>
      <c r="AX2519" s="56"/>
      <c r="AY2519" s="56"/>
      <c r="AZ2519" s="56"/>
      <c r="BA2519" s="56"/>
      <c r="BB2519" s="56"/>
      <c r="BC2519" s="56"/>
      <c r="BD2519" s="56"/>
      <c r="BE2519" s="56"/>
      <c r="BF2519" s="56"/>
      <c r="BG2519" s="56"/>
      <c r="BH2519" s="56"/>
      <c r="BI2519" s="56"/>
      <c r="BJ2519" s="56"/>
      <c r="BK2519" s="56"/>
      <c r="BL2519" s="56"/>
      <c r="BM2519" s="56"/>
      <c r="BN2519" s="56"/>
      <c r="BO2519" s="56"/>
      <c r="BP2519" s="56"/>
      <c r="BQ2519" s="56"/>
      <c r="BR2519" s="56"/>
      <c r="BS2519" s="56"/>
      <c r="BT2519" s="56"/>
      <c r="BU2519" s="56"/>
      <c r="BV2519" s="56"/>
      <c r="BW2519" s="56"/>
      <c r="BX2519" s="56"/>
      <c r="BY2519" s="56"/>
      <c r="BZ2519" s="56"/>
      <c r="CA2519" s="56"/>
      <c r="CB2519" s="56"/>
      <c r="CC2519" s="56"/>
      <c r="CD2519" s="56"/>
      <c r="CE2519" s="56"/>
      <c r="CF2519" s="56"/>
      <c r="CG2519" s="56"/>
      <c r="CH2519" s="56"/>
      <c r="CI2519" s="56"/>
      <c r="CJ2519" s="56"/>
      <c r="CK2519" s="56"/>
      <c r="CL2519" s="56"/>
      <c r="CM2519" s="56"/>
      <c r="CN2519" s="56"/>
      <c r="CO2519" s="56"/>
      <c r="CP2519" s="56"/>
      <c r="CQ2519" s="56"/>
      <c r="CR2519" s="56"/>
      <c r="CS2519" s="56"/>
      <c r="CT2519" s="56"/>
      <c r="CU2519" s="56"/>
      <c r="CV2519" s="56"/>
      <c r="CW2519" s="56"/>
      <c r="CX2519" s="56"/>
      <c r="CY2519" s="56"/>
      <c r="CZ2519" s="56"/>
      <c r="DA2519" s="56"/>
      <c r="DB2519" s="56"/>
      <c r="DC2519" s="56"/>
      <c r="DD2519" s="56"/>
      <c r="DE2519" s="56"/>
      <c r="DF2519" s="56"/>
      <c r="DG2519" s="56"/>
      <c r="DH2519" s="56"/>
      <c r="DI2519" s="56"/>
      <c r="DJ2519" s="56"/>
      <c r="DK2519" s="56"/>
      <c r="DL2519" s="56"/>
      <c r="DM2519" s="56"/>
      <c r="DN2519" s="56"/>
      <c r="DO2519" s="56"/>
      <c r="DP2519" s="56"/>
      <c r="DQ2519" s="56"/>
      <c r="DR2519" s="56"/>
      <c r="DS2519" s="56"/>
      <c r="DT2519" s="56"/>
      <c r="DU2519" s="56"/>
      <c r="DV2519" s="56"/>
      <c r="DW2519" s="56"/>
      <c r="DX2519" s="56"/>
      <c r="DY2519" s="56"/>
      <c r="DZ2519" s="56"/>
      <c r="EA2519" s="56"/>
      <c r="EB2519" s="56"/>
      <c r="EC2519" s="56"/>
      <c r="ED2519" s="56"/>
      <c r="EE2519" s="56"/>
      <c r="EF2519" s="56"/>
      <c r="EG2519" s="56"/>
      <c r="EH2519" s="56"/>
      <c r="EI2519" s="56"/>
      <c r="EJ2519" s="56"/>
      <c r="EK2519" s="56"/>
      <c r="EL2519" s="56"/>
      <c r="EM2519" s="56"/>
      <c r="EN2519" s="56"/>
      <c r="EO2519" s="56"/>
      <c r="EP2519" s="56"/>
      <c r="EQ2519" s="56"/>
      <c r="ER2519" s="56"/>
      <c r="ES2519" s="56"/>
      <c r="ET2519" s="56"/>
      <c r="EU2519" s="56"/>
      <c r="EV2519" s="56"/>
      <c r="EW2519" s="56"/>
      <c r="EX2519" s="56"/>
      <c r="EY2519" s="56"/>
      <c r="EZ2519" s="56"/>
      <c r="FA2519" s="56"/>
      <c r="FB2519" s="56"/>
      <c r="FC2519" s="56"/>
      <c r="FD2519" s="56"/>
      <c r="FE2519" s="56"/>
      <c r="FF2519" s="56"/>
      <c r="FG2519" s="56"/>
      <c r="FH2519" s="56"/>
      <c r="FI2519" s="56"/>
      <c r="FJ2519" s="56"/>
      <c r="FK2519" s="56"/>
      <c r="FL2519" s="56"/>
      <c r="FM2519" s="56"/>
      <c r="FN2519" s="56"/>
      <c r="FO2519" s="56"/>
      <c r="FP2519" s="56"/>
      <c r="FQ2519" s="56"/>
      <c r="FR2519" s="56"/>
      <c r="FS2519" s="56"/>
      <c r="FT2519" s="56"/>
      <c r="FU2519" s="56"/>
      <c r="FV2519" s="56"/>
      <c r="FW2519" s="56"/>
      <c r="FX2519" s="56"/>
      <c r="FY2519" s="56"/>
      <c r="FZ2519" s="56"/>
      <c r="GA2519" s="56"/>
      <c r="GB2519" s="56"/>
      <c r="GC2519" s="56"/>
      <c r="GD2519" s="56"/>
      <c r="GE2519" s="56"/>
      <c r="GF2519" s="56"/>
    </row>
    <row r="2520" spans="1:48" s="18" customFormat="1" ht="17.25" customHeight="1">
      <c r="A2520" s="50"/>
      <c r="B2520" s="93" t="s">
        <v>669</v>
      </c>
      <c r="C2520" s="16"/>
      <c r="D2520" s="52"/>
      <c r="E2520" s="52"/>
      <c r="F2520" s="52"/>
      <c r="G2520" s="52"/>
      <c r="H2520" s="52"/>
      <c r="I2520" s="52"/>
      <c r="J2520" s="52"/>
      <c r="K2520" s="52"/>
      <c r="L2520" s="60">
        <f>L2521</f>
        <v>3</v>
      </c>
      <c r="M2520" s="60">
        <f>M2521</f>
        <v>3</v>
      </c>
      <c r="N2520" s="60">
        <f>N2521</f>
        <v>4</v>
      </c>
      <c r="O2520" s="60">
        <f>O2521</f>
        <v>4</v>
      </c>
      <c r="P2520" s="60">
        <f>P2521</f>
        <v>4</v>
      </c>
      <c r="Q2520" s="23"/>
      <c r="R2520" s="23"/>
      <c r="S2520" s="17"/>
      <c r="T2520" s="47"/>
      <c r="U2520" s="47"/>
      <c r="V2520" s="47"/>
      <c r="W2520" s="47"/>
      <c r="X2520" s="47"/>
      <c r="Y2520" s="47"/>
      <c r="Z2520" s="47"/>
      <c r="AA2520" s="47"/>
      <c r="AB2520" s="47"/>
      <c r="AC2520" s="47"/>
      <c r="AD2520" s="47"/>
      <c r="AE2520" s="47"/>
      <c r="AF2520" s="47"/>
      <c r="AG2520" s="47"/>
      <c r="AH2520" s="47"/>
      <c r="AI2520" s="47"/>
      <c r="AJ2520" s="47"/>
      <c r="AK2520" s="47"/>
      <c r="AL2520" s="47"/>
      <c r="AM2520" s="47"/>
      <c r="AN2520" s="47"/>
      <c r="AO2520" s="47"/>
      <c r="AP2520" s="47"/>
      <c r="AQ2520" s="47"/>
      <c r="AR2520" s="47"/>
      <c r="AS2520" s="47"/>
      <c r="AT2520" s="47"/>
      <c r="AU2520" s="47"/>
      <c r="AV2520" s="47"/>
    </row>
    <row r="2521" spans="1:48" s="27" customFormat="1" ht="17.25" customHeight="1">
      <c r="A2521" s="12"/>
      <c r="B2521" s="97" t="s">
        <v>560</v>
      </c>
      <c r="C2521" s="29" t="s">
        <v>1319</v>
      </c>
      <c r="D2521" s="51"/>
      <c r="E2521" s="51"/>
      <c r="F2521" s="51">
        <v>5</v>
      </c>
      <c r="G2521" s="51">
        <v>6</v>
      </c>
      <c r="H2521" s="51">
        <v>6</v>
      </c>
      <c r="I2521" s="51">
        <v>7</v>
      </c>
      <c r="J2521" s="51">
        <v>7</v>
      </c>
      <c r="K2521" s="51">
        <v>7</v>
      </c>
      <c r="L2521" s="40">
        <v>3</v>
      </c>
      <c r="M2521" s="40">
        <v>3</v>
      </c>
      <c r="N2521" s="40">
        <v>4</v>
      </c>
      <c r="O2521" s="40">
        <v>4</v>
      </c>
      <c r="P2521" s="40">
        <v>4</v>
      </c>
      <c r="Q2521" s="30"/>
      <c r="R2521" s="30"/>
      <c r="S2521" s="30"/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</row>
    <row r="2522" spans="1:48" s="27" customFormat="1" ht="17.25" customHeight="1">
      <c r="A2522" s="12"/>
      <c r="B2522" s="93" t="s">
        <v>37</v>
      </c>
      <c r="C2522" s="29"/>
      <c r="D2522" s="51"/>
      <c r="E2522" s="51"/>
      <c r="F2522" s="51"/>
      <c r="G2522" s="51"/>
      <c r="H2522" s="51"/>
      <c r="I2522" s="51"/>
      <c r="J2522" s="51"/>
      <c r="K2522" s="51"/>
      <c r="L2522" s="40" t="str">
        <f>L2523</f>
        <v> -</v>
      </c>
      <c r="M2522" s="40">
        <f>M2523</f>
        <v>1</v>
      </c>
      <c r="N2522" s="40"/>
      <c r="O2522" s="40" t="str">
        <f>O2523</f>
        <v> -</v>
      </c>
      <c r="P2522" s="40" t="str">
        <f>P2523</f>
        <v> -</v>
      </c>
      <c r="Q2522" s="30"/>
      <c r="R2522" s="30"/>
      <c r="S2522" s="30"/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</row>
    <row r="2523" spans="1:48" s="27" customFormat="1" ht="17.25" customHeight="1">
      <c r="A2523" s="12"/>
      <c r="B2523" s="97" t="s">
        <v>38</v>
      </c>
      <c r="C2523" s="66" t="s">
        <v>457</v>
      </c>
      <c r="D2523" s="51"/>
      <c r="E2523" s="51"/>
      <c r="F2523" s="51"/>
      <c r="G2523" s="51">
        <v>1</v>
      </c>
      <c r="H2523" s="51">
        <v>1</v>
      </c>
      <c r="I2523" s="51">
        <v>1</v>
      </c>
      <c r="J2523" s="51">
        <v>1</v>
      </c>
      <c r="K2523" s="51">
        <v>1</v>
      </c>
      <c r="L2523" s="40" t="s">
        <v>556</v>
      </c>
      <c r="M2523" s="40">
        <v>1</v>
      </c>
      <c r="N2523" s="40" t="s">
        <v>556</v>
      </c>
      <c r="O2523" s="40" t="s">
        <v>556</v>
      </c>
      <c r="P2523" s="40" t="s">
        <v>556</v>
      </c>
      <c r="Q2523" s="30"/>
      <c r="R2523" s="30"/>
      <c r="S2523" s="30"/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</row>
    <row r="2524" spans="1:19" ht="15" customHeight="1">
      <c r="A2524" s="399" t="s">
        <v>664</v>
      </c>
      <c r="B2524" s="399"/>
      <c r="C2524" s="399"/>
      <c r="D2524" s="399"/>
      <c r="E2524" s="399"/>
      <c r="F2524" s="399"/>
      <c r="G2524" s="399"/>
      <c r="H2524" s="399"/>
      <c r="I2524" s="399"/>
      <c r="J2524" s="399"/>
      <c r="K2524" s="399"/>
      <c r="L2524" s="399"/>
      <c r="M2524" s="399"/>
      <c r="N2524" s="399"/>
      <c r="O2524" s="399"/>
      <c r="P2524" s="399"/>
      <c r="Q2524" s="20"/>
      <c r="R2524" s="20"/>
      <c r="S2524" s="7"/>
    </row>
    <row r="2525" spans="1:19" ht="13.5" customHeight="1">
      <c r="A2525" s="400" t="s">
        <v>676</v>
      </c>
      <c r="B2525" s="400"/>
      <c r="C2525" s="400"/>
      <c r="D2525" s="400"/>
      <c r="E2525" s="400"/>
      <c r="F2525" s="400"/>
      <c r="G2525" s="400"/>
      <c r="H2525" s="400"/>
      <c r="I2525" s="400"/>
      <c r="J2525" s="400"/>
      <c r="K2525" s="400"/>
      <c r="L2525" s="400"/>
      <c r="M2525" s="400"/>
      <c r="N2525" s="400"/>
      <c r="O2525" s="400"/>
      <c r="P2525" s="400"/>
      <c r="Q2525" s="21"/>
      <c r="R2525" s="21"/>
      <c r="S2525" s="8"/>
    </row>
    <row r="2526" spans="1:188" s="57" customFormat="1" ht="19.5" customHeight="1">
      <c r="A2526" s="13">
        <v>8</v>
      </c>
      <c r="B2526" s="92" t="s">
        <v>89</v>
      </c>
      <c r="C2526" s="45"/>
      <c r="D2526" s="44">
        <v>268</v>
      </c>
      <c r="E2526" s="44">
        <v>35</v>
      </c>
      <c r="F2526" s="44">
        <v>214</v>
      </c>
      <c r="G2526" s="44">
        <v>209</v>
      </c>
      <c r="H2526" s="44">
        <v>209</v>
      </c>
      <c r="I2526" s="44">
        <v>204</v>
      </c>
      <c r="J2526" s="44"/>
      <c r="K2526" s="44">
        <v>204</v>
      </c>
      <c r="L2526" s="44">
        <f aca="true" t="shared" si="78" ref="L2526:P2527">L2527</f>
        <v>23</v>
      </c>
      <c r="M2526" s="44" t="str">
        <f t="shared" si="78"/>
        <v> -</v>
      </c>
      <c r="N2526" s="44">
        <f t="shared" si="78"/>
        <v>10</v>
      </c>
      <c r="O2526" s="44" t="str">
        <f t="shared" si="78"/>
        <v> -</v>
      </c>
      <c r="P2526" s="44" t="str">
        <f t="shared" si="78"/>
        <v> -</v>
      </c>
      <c r="Q2526" s="54" t="s">
        <v>648</v>
      </c>
      <c r="R2526" s="54">
        <v>3</v>
      </c>
      <c r="S2526" s="55" t="s">
        <v>593</v>
      </c>
      <c r="T2526" s="56"/>
      <c r="U2526" s="56"/>
      <c r="V2526" s="56"/>
      <c r="W2526" s="56"/>
      <c r="X2526" s="56"/>
      <c r="Y2526" s="56"/>
      <c r="Z2526" s="56"/>
      <c r="AA2526" s="56"/>
      <c r="AB2526" s="56"/>
      <c r="AC2526" s="56"/>
      <c r="AD2526" s="56"/>
      <c r="AE2526" s="56"/>
      <c r="AF2526" s="56"/>
      <c r="AG2526" s="56"/>
      <c r="AH2526" s="56"/>
      <c r="AI2526" s="56"/>
      <c r="AJ2526" s="56"/>
      <c r="AK2526" s="56"/>
      <c r="AL2526" s="56"/>
      <c r="AM2526" s="56"/>
      <c r="AN2526" s="56"/>
      <c r="AO2526" s="56"/>
      <c r="AP2526" s="56"/>
      <c r="AQ2526" s="56"/>
      <c r="AR2526" s="56"/>
      <c r="AS2526" s="56"/>
      <c r="AT2526" s="56"/>
      <c r="AU2526" s="56"/>
      <c r="AV2526" s="56"/>
      <c r="AW2526" s="56"/>
      <c r="AX2526" s="56"/>
      <c r="AY2526" s="56"/>
      <c r="AZ2526" s="56"/>
      <c r="BA2526" s="56"/>
      <c r="BB2526" s="56"/>
      <c r="BC2526" s="56"/>
      <c r="BD2526" s="56"/>
      <c r="BE2526" s="56"/>
      <c r="BF2526" s="56"/>
      <c r="BG2526" s="56"/>
      <c r="BH2526" s="56"/>
      <c r="BI2526" s="56"/>
      <c r="BJ2526" s="56"/>
      <c r="BK2526" s="56"/>
      <c r="BL2526" s="56"/>
      <c r="BM2526" s="56"/>
      <c r="BN2526" s="56"/>
      <c r="BO2526" s="56"/>
      <c r="BP2526" s="56"/>
      <c r="BQ2526" s="56"/>
      <c r="BR2526" s="56"/>
      <c r="BS2526" s="56"/>
      <c r="BT2526" s="56"/>
      <c r="BU2526" s="56"/>
      <c r="BV2526" s="56"/>
      <c r="BW2526" s="56"/>
      <c r="BX2526" s="56"/>
      <c r="BY2526" s="56"/>
      <c r="BZ2526" s="56"/>
      <c r="CA2526" s="56"/>
      <c r="CB2526" s="56"/>
      <c r="CC2526" s="56"/>
      <c r="CD2526" s="56"/>
      <c r="CE2526" s="56"/>
      <c r="CF2526" s="56"/>
      <c r="CG2526" s="56"/>
      <c r="CH2526" s="56"/>
      <c r="CI2526" s="56"/>
      <c r="CJ2526" s="56"/>
      <c r="CK2526" s="56"/>
      <c r="CL2526" s="56"/>
      <c r="CM2526" s="56"/>
      <c r="CN2526" s="56"/>
      <c r="CO2526" s="56"/>
      <c r="CP2526" s="56"/>
      <c r="CQ2526" s="56"/>
      <c r="CR2526" s="56"/>
      <c r="CS2526" s="56"/>
      <c r="CT2526" s="56"/>
      <c r="CU2526" s="56"/>
      <c r="CV2526" s="56"/>
      <c r="CW2526" s="56"/>
      <c r="CX2526" s="56"/>
      <c r="CY2526" s="56"/>
      <c r="CZ2526" s="56"/>
      <c r="DA2526" s="56"/>
      <c r="DB2526" s="56"/>
      <c r="DC2526" s="56"/>
      <c r="DD2526" s="56"/>
      <c r="DE2526" s="56"/>
      <c r="DF2526" s="56"/>
      <c r="DG2526" s="56"/>
      <c r="DH2526" s="56"/>
      <c r="DI2526" s="56"/>
      <c r="DJ2526" s="56"/>
      <c r="DK2526" s="56"/>
      <c r="DL2526" s="56"/>
      <c r="DM2526" s="56"/>
      <c r="DN2526" s="56"/>
      <c r="DO2526" s="56"/>
      <c r="DP2526" s="56"/>
      <c r="DQ2526" s="56"/>
      <c r="DR2526" s="56"/>
      <c r="DS2526" s="56"/>
      <c r="DT2526" s="56"/>
      <c r="DU2526" s="56"/>
      <c r="DV2526" s="56"/>
      <c r="DW2526" s="56"/>
      <c r="DX2526" s="56"/>
      <c r="DY2526" s="56"/>
      <c r="DZ2526" s="56"/>
      <c r="EA2526" s="56"/>
      <c r="EB2526" s="56"/>
      <c r="EC2526" s="56"/>
      <c r="ED2526" s="56"/>
      <c r="EE2526" s="56"/>
      <c r="EF2526" s="56"/>
      <c r="EG2526" s="56"/>
      <c r="EH2526" s="56"/>
      <c r="EI2526" s="56"/>
      <c r="EJ2526" s="56"/>
      <c r="EK2526" s="56"/>
      <c r="EL2526" s="56"/>
      <c r="EM2526" s="56"/>
      <c r="EN2526" s="56"/>
      <c r="EO2526" s="56"/>
      <c r="EP2526" s="56"/>
      <c r="EQ2526" s="56"/>
      <c r="ER2526" s="56"/>
      <c r="ES2526" s="56"/>
      <c r="ET2526" s="56"/>
      <c r="EU2526" s="56"/>
      <c r="EV2526" s="56"/>
      <c r="EW2526" s="56"/>
      <c r="EX2526" s="56"/>
      <c r="EY2526" s="56"/>
      <c r="EZ2526" s="56"/>
      <c r="FA2526" s="56"/>
      <c r="FB2526" s="56"/>
      <c r="FC2526" s="56"/>
      <c r="FD2526" s="56"/>
      <c r="FE2526" s="56"/>
      <c r="FF2526" s="56"/>
      <c r="FG2526" s="56"/>
      <c r="FH2526" s="56"/>
      <c r="FI2526" s="56"/>
      <c r="FJ2526" s="56"/>
      <c r="FK2526" s="56"/>
      <c r="FL2526" s="56"/>
      <c r="FM2526" s="56"/>
      <c r="FN2526" s="56"/>
      <c r="FO2526" s="56"/>
      <c r="FP2526" s="56"/>
      <c r="FQ2526" s="56"/>
      <c r="FR2526" s="56"/>
      <c r="FS2526" s="56"/>
      <c r="FT2526" s="56"/>
      <c r="FU2526" s="56"/>
      <c r="FV2526" s="56"/>
      <c r="FW2526" s="56"/>
      <c r="FX2526" s="56"/>
      <c r="FY2526" s="56"/>
      <c r="FZ2526" s="56"/>
      <c r="GA2526" s="56"/>
      <c r="GB2526" s="56"/>
      <c r="GC2526" s="56"/>
      <c r="GD2526" s="56"/>
      <c r="GE2526" s="56"/>
      <c r="GF2526" s="56"/>
    </row>
    <row r="2527" spans="1:48" s="18" customFormat="1" ht="18.75" customHeight="1">
      <c r="A2527" s="50"/>
      <c r="B2527" s="93" t="s">
        <v>669</v>
      </c>
      <c r="C2527" s="16"/>
      <c r="D2527" s="52"/>
      <c r="E2527" s="52"/>
      <c r="F2527" s="52"/>
      <c r="G2527" s="52"/>
      <c r="H2527" s="52"/>
      <c r="I2527" s="52"/>
      <c r="J2527" s="52"/>
      <c r="K2527" s="52"/>
      <c r="L2527" s="60">
        <f t="shared" si="78"/>
        <v>23</v>
      </c>
      <c r="M2527" s="60" t="str">
        <f t="shared" si="78"/>
        <v> -</v>
      </c>
      <c r="N2527" s="60">
        <f t="shared" si="78"/>
        <v>10</v>
      </c>
      <c r="O2527" s="60" t="str">
        <f t="shared" si="78"/>
        <v> -</v>
      </c>
      <c r="P2527" s="60" t="str">
        <f t="shared" si="78"/>
        <v> -</v>
      </c>
      <c r="Q2527" s="23"/>
      <c r="R2527" s="23"/>
      <c r="S2527" s="17"/>
      <c r="T2527" s="47"/>
      <c r="U2527" s="47"/>
      <c r="V2527" s="47"/>
      <c r="W2527" s="47"/>
      <c r="X2527" s="47"/>
      <c r="Y2527" s="47"/>
      <c r="Z2527" s="47"/>
      <c r="AA2527" s="47"/>
      <c r="AB2527" s="47"/>
      <c r="AC2527" s="47"/>
      <c r="AD2527" s="47"/>
      <c r="AE2527" s="47"/>
      <c r="AF2527" s="47"/>
      <c r="AG2527" s="47"/>
      <c r="AH2527" s="47"/>
      <c r="AI2527" s="47"/>
      <c r="AJ2527" s="47"/>
      <c r="AK2527" s="47"/>
      <c r="AL2527" s="47"/>
      <c r="AM2527" s="47"/>
      <c r="AN2527" s="47"/>
      <c r="AO2527" s="47"/>
      <c r="AP2527" s="47"/>
      <c r="AQ2527" s="47"/>
      <c r="AR2527" s="47"/>
      <c r="AS2527" s="47"/>
      <c r="AT2527" s="47"/>
      <c r="AU2527" s="47"/>
      <c r="AV2527" s="47"/>
    </row>
    <row r="2528" spans="1:48" s="27" customFormat="1" ht="18" customHeight="1">
      <c r="A2528" s="12"/>
      <c r="B2528" s="97" t="s">
        <v>560</v>
      </c>
      <c r="C2528" s="29" t="s">
        <v>1319</v>
      </c>
      <c r="D2528" s="51"/>
      <c r="E2528" s="51"/>
      <c r="F2528" s="51">
        <v>85</v>
      </c>
      <c r="G2528" s="51">
        <v>80</v>
      </c>
      <c r="H2528" s="51">
        <v>80</v>
      </c>
      <c r="I2528" s="51">
        <v>75</v>
      </c>
      <c r="J2528" s="51"/>
      <c r="K2528" s="51">
        <v>75</v>
      </c>
      <c r="L2528" s="40">
        <v>23</v>
      </c>
      <c r="M2528" s="40" t="s">
        <v>556</v>
      </c>
      <c r="N2528" s="40">
        <v>10</v>
      </c>
      <c r="O2528" s="40" t="s">
        <v>556</v>
      </c>
      <c r="P2528" s="40" t="s">
        <v>556</v>
      </c>
      <c r="Q2528" s="30"/>
      <c r="R2528" s="30"/>
      <c r="S2528" s="30"/>
      <c r="T2528" s="48"/>
      <c r="U2528" s="48"/>
      <c r="V2528" s="48"/>
      <c r="W2528" s="48"/>
      <c r="X2528" s="48"/>
      <c r="Y2528" s="48"/>
      <c r="Z2528" s="48"/>
      <c r="AA2528" s="48"/>
      <c r="AB2528" s="48"/>
      <c r="AC2528" s="48"/>
      <c r="AD2528" s="48"/>
      <c r="AE2528" s="48"/>
      <c r="AF2528" s="48"/>
      <c r="AG2528" s="48"/>
      <c r="AH2528" s="48"/>
      <c r="AI2528" s="48"/>
      <c r="AJ2528" s="48"/>
      <c r="AK2528" s="48"/>
      <c r="AL2528" s="48"/>
      <c r="AM2528" s="48"/>
      <c r="AN2528" s="48"/>
      <c r="AO2528" s="48"/>
      <c r="AP2528" s="48"/>
      <c r="AQ2528" s="48"/>
      <c r="AR2528" s="48"/>
      <c r="AS2528" s="48"/>
      <c r="AT2528" s="48"/>
      <c r="AU2528" s="48"/>
      <c r="AV2528" s="48"/>
    </row>
    <row r="2529" spans="1:19" ht="15" customHeight="1">
      <c r="A2529" s="399" t="s">
        <v>665</v>
      </c>
      <c r="B2529" s="399"/>
      <c r="C2529" s="399"/>
      <c r="D2529" s="399"/>
      <c r="E2529" s="399"/>
      <c r="F2529" s="399"/>
      <c r="G2529" s="399"/>
      <c r="H2529" s="399"/>
      <c r="I2529" s="399"/>
      <c r="J2529" s="399"/>
      <c r="K2529" s="399"/>
      <c r="L2529" s="399"/>
      <c r="M2529" s="399"/>
      <c r="N2529" s="399"/>
      <c r="O2529" s="399"/>
      <c r="P2529" s="399"/>
      <c r="Q2529" s="20"/>
      <c r="R2529" s="20"/>
      <c r="S2529" s="7"/>
    </row>
    <row r="2530" spans="1:19" ht="13.5" customHeight="1">
      <c r="A2530" s="400" t="s">
        <v>676</v>
      </c>
      <c r="B2530" s="400"/>
      <c r="C2530" s="400"/>
      <c r="D2530" s="400"/>
      <c r="E2530" s="400"/>
      <c r="F2530" s="400"/>
      <c r="G2530" s="400"/>
      <c r="H2530" s="400"/>
      <c r="I2530" s="400"/>
      <c r="J2530" s="400"/>
      <c r="K2530" s="400"/>
      <c r="L2530" s="400"/>
      <c r="M2530" s="400"/>
      <c r="N2530" s="400"/>
      <c r="O2530" s="400"/>
      <c r="P2530" s="400"/>
      <c r="Q2530" s="21"/>
      <c r="R2530" s="21"/>
      <c r="S2530" s="8"/>
    </row>
    <row r="2531" spans="1:188" s="57" customFormat="1" ht="19.5" customHeight="1">
      <c r="A2531" s="13">
        <v>9</v>
      </c>
      <c r="B2531" s="92" t="s">
        <v>373</v>
      </c>
      <c r="C2531" s="45"/>
      <c r="D2531" s="44">
        <v>173</v>
      </c>
      <c r="E2531" s="44">
        <v>33</v>
      </c>
      <c r="F2531" s="44">
        <v>214</v>
      </c>
      <c r="G2531" s="44">
        <v>209</v>
      </c>
      <c r="H2531" s="44">
        <v>209</v>
      </c>
      <c r="I2531" s="44">
        <v>204</v>
      </c>
      <c r="J2531" s="44"/>
      <c r="K2531" s="44">
        <v>204</v>
      </c>
      <c r="L2531" s="44">
        <f aca="true" t="shared" si="79" ref="L2531:P2532">L2532</f>
        <v>12</v>
      </c>
      <c r="M2531" s="44">
        <f t="shared" si="79"/>
        <v>5</v>
      </c>
      <c r="N2531" s="44">
        <f t="shared" si="79"/>
        <v>6</v>
      </c>
      <c r="O2531" s="44">
        <f t="shared" si="79"/>
        <v>8</v>
      </c>
      <c r="P2531" s="44">
        <f t="shared" si="79"/>
        <v>5</v>
      </c>
      <c r="Q2531" s="54" t="s">
        <v>648</v>
      </c>
      <c r="R2531" s="54">
        <v>3</v>
      </c>
      <c r="S2531" s="55" t="s">
        <v>593</v>
      </c>
      <c r="T2531" s="56"/>
      <c r="U2531" s="56"/>
      <c r="V2531" s="56"/>
      <c r="W2531" s="56"/>
      <c r="X2531" s="56"/>
      <c r="Y2531" s="56"/>
      <c r="Z2531" s="56"/>
      <c r="AA2531" s="56"/>
      <c r="AB2531" s="56"/>
      <c r="AC2531" s="56"/>
      <c r="AD2531" s="56"/>
      <c r="AE2531" s="56"/>
      <c r="AF2531" s="56"/>
      <c r="AG2531" s="56"/>
      <c r="AH2531" s="56"/>
      <c r="AI2531" s="56"/>
      <c r="AJ2531" s="56"/>
      <c r="AK2531" s="56"/>
      <c r="AL2531" s="56"/>
      <c r="AM2531" s="56"/>
      <c r="AN2531" s="56"/>
      <c r="AO2531" s="56"/>
      <c r="AP2531" s="56"/>
      <c r="AQ2531" s="56"/>
      <c r="AR2531" s="56"/>
      <c r="AS2531" s="56"/>
      <c r="AT2531" s="56"/>
      <c r="AU2531" s="56"/>
      <c r="AV2531" s="56"/>
      <c r="AW2531" s="56"/>
      <c r="AX2531" s="56"/>
      <c r="AY2531" s="56"/>
      <c r="AZ2531" s="56"/>
      <c r="BA2531" s="56"/>
      <c r="BB2531" s="56"/>
      <c r="BC2531" s="56"/>
      <c r="BD2531" s="56"/>
      <c r="BE2531" s="56"/>
      <c r="BF2531" s="56"/>
      <c r="BG2531" s="56"/>
      <c r="BH2531" s="56"/>
      <c r="BI2531" s="56"/>
      <c r="BJ2531" s="56"/>
      <c r="BK2531" s="56"/>
      <c r="BL2531" s="56"/>
      <c r="BM2531" s="56"/>
      <c r="BN2531" s="56"/>
      <c r="BO2531" s="56"/>
      <c r="BP2531" s="56"/>
      <c r="BQ2531" s="56"/>
      <c r="BR2531" s="56"/>
      <c r="BS2531" s="56"/>
      <c r="BT2531" s="56"/>
      <c r="BU2531" s="56"/>
      <c r="BV2531" s="56"/>
      <c r="BW2531" s="56"/>
      <c r="BX2531" s="56"/>
      <c r="BY2531" s="56"/>
      <c r="BZ2531" s="56"/>
      <c r="CA2531" s="56"/>
      <c r="CB2531" s="56"/>
      <c r="CC2531" s="56"/>
      <c r="CD2531" s="56"/>
      <c r="CE2531" s="56"/>
      <c r="CF2531" s="56"/>
      <c r="CG2531" s="56"/>
      <c r="CH2531" s="56"/>
      <c r="CI2531" s="56"/>
      <c r="CJ2531" s="56"/>
      <c r="CK2531" s="56"/>
      <c r="CL2531" s="56"/>
      <c r="CM2531" s="56"/>
      <c r="CN2531" s="56"/>
      <c r="CO2531" s="56"/>
      <c r="CP2531" s="56"/>
      <c r="CQ2531" s="56"/>
      <c r="CR2531" s="56"/>
      <c r="CS2531" s="56"/>
      <c r="CT2531" s="56"/>
      <c r="CU2531" s="56"/>
      <c r="CV2531" s="56"/>
      <c r="CW2531" s="56"/>
      <c r="CX2531" s="56"/>
      <c r="CY2531" s="56"/>
      <c r="CZ2531" s="56"/>
      <c r="DA2531" s="56"/>
      <c r="DB2531" s="56"/>
      <c r="DC2531" s="56"/>
      <c r="DD2531" s="56"/>
      <c r="DE2531" s="56"/>
      <c r="DF2531" s="56"/>
      <c r="DG2531" s="56"/>
      <c r="DH2531" s="56"/>
      <c r="DI2531" s="56"/>
      <c r="DJ2531" s="56"/>
      <c r="DK2531" s="56"/>
      <c r="DL2531" s="56"/>
      <c r="DM2531" s="56"/>
      <c r="DN2531" s="56"/>
      <c r="DO2531" s="56"/>
      <c r="DP2531" s="56"/>
      <c r="DQ2531" s="56"/>
      <c r="DR2531" s="56"/>
      <c r="DS2531" s="56"/>
      <c r="DT2531" s="56"/>
      <c r="DU2531" s="56"/>
      <c r="DV2531" s="56"/>
      <c r="DW2531" s="56"/>
      <c r="DX2531" s="56"/>
      <c r="DY2531" s="56"/>
      <c r="DZ2531" s="56"/>
      <c r="EA2531" s="56"/>
      <c r="EB2531" s="56"/>
      <c r="EC2531" s="56"/>
      <c r="ED2531" s="56"/>
      <c r="EE2531" s="56"/>
      <c r="EF2531" s="56"/>
      <c r="EG2531" s="56"/>
      <c r="EH2531" s="56"/>
      <c r="EI2531" s="56"/>
      <c r="EJ2531" s="56"/>
      <c r="EK2531" s="56"/>
      <c r="EL2531" s="56"/>
      <c r="EM2531" s="56"/>
      <c r="EN2531" s="56"/>
      <c r="EO2531" s="56"/>
      <c r="EP2531" s="56"/>
      <c r="EQ2531" s="56"/>
      <c r="ER2531" s="56"/>
      <c r="ES2531" s="56"/>
      <c r="ET2531" s="56"/>
      <c r="EU2531" s="56"/>
      <c r="EV2531" s="56"/>
      <c r="EW2531" s="56"/>
      <c r="EX2531" s="56"/>
      <c r="EY2531" s="56"/>
      <c r="EZ2531" s="56"/>
      <c r="FA2531" s="56"/>
      <c r="FB2531" s="56"/>
      <c r="FC2531" s="56"/>
      <c r="FD2531" s="56"/>
      <c r="FE2531" s="56"/>
      <c r="FF2531" s="56"/>
      <c r="FG2531" s="56"/>
      <c r="FH2531" s="56"/>
      <c r="FI2531" s="56"/>
      <c r="FJ2531" s="56"/>
      <c r="FK2531" s="56"/>
      <c r="FL2531" s="56"/>
      <c r="FM2531" s="56"/>
      <c r="FN2531" s="56"/>
      <c r="FO2531" s="56"/>
      <c r="FP2531" s="56"/>
      <c r="FQ2531" s="56"/>
      <c r="FR2531" s="56"/>
      <c r="FS2531" s="56"/>
      <c r="FT2531" s="56"/>
      <c r="FU2531" s="56"/>
      <c r="FV2531" s="56"/>
      <c r="FW2531" s="56"/>
      <c r="FX2531" s="56"/>
      <c r="FY2531" s="56"/>
      <c r="FZ2531" s="56"/>
      <c r="GA2531" s="56"/>
      <c r="GB2531" s="56"/>
      <c r="GC2531" s="56"/>
      <c r="GD2531" s="56"/>
      <c r="GE2531" s="56"/>
      <c r="GF2531" s="56"/>
    </row>
    <row r="2532" spans="1:48" s="18" customFormat="1" ht="18.75" customHeight="1">
      <c r="A2532" s="50"/>
      <c r="B2532" s="93" t="s">
        <v>669</v>
      </c>
      <c r="C2532" s="16"/>
      <c r="D2532" s="52"/>
      <c r="E2532" s="52"/>
      <c r="F2532" s="52"/>
      <c r="G2532" s="52"/>
      <c r="H2532" s="52"/>
      <c r="I2532" s="52"/>
      <c r="J2532" s="52"/>
      <c r="K2532" s="52"/>
      <c r="L2532" s="60">
        <f t="shared" si="79"/>
        <v>12</v>
      </c>
      <c r="M2532" s="60">
        <f t="shared" si="79"/>
        <v>5</v>
      </c>
      <c r="N2532" s="60">
        <f t="shared" si="79"/>
        <v>6</v>
      </c>
      <c r="O2532" s="60">
        <f t="shared" si="79"/>
        <v>8</v>
      </c>
      <c r="P2532" s="60">
        <f t="shared" si="79"/>
        <v>5</v>
      </c>
      <c r="Q2532" s="23"/>
      <c r="R2532" s="23"/>
      <c r="S2532" s="17"/>
      <c r="T2532" s="47"/>
      <c r="U2532" s="47"/>
      <c r="V2532" s="47"/>
      <c r="W2532" s="47"/>
      <c r="X2532" s="47"/>
      <c r="Y2532" s="47"/>
      <c r="Z2532" s="47"/>
      <c r="AA2532" s="47"/>
      <c r="AB2532" s="47"/>
      <c r="AC2532" s="47"/>
      <c r="AD2532" s="47"/>
      <c r="AE2532" s="47"/>
      <c r="AF2532" s="47"/>
      <c r="AG2532" s="47"/>
      <c r="AH2532" s="47"/>
      <c r="AI2532" s="47"/>
      <c r="AJ2532" s="47"/>
      <c r="AK2532" s="47"/>
      <c r="AL2532" s="47"/>
      <c r="AM2532" s="47"/>
      <c r="AN2532" s="47"/>
      <c r="AO2532" s="47"/>
      <c r="AP2532" s="47"/>
      <c r="AQ2532" s="47"/>
      <c r="AR2532" s="47"/>
      <c r="AS2532" s="47"/>
      <c r="AT2532" s="47"/>
      <c r="AU2532" s="47"/>
      <c r="AV2532" s="47"/>
    </row>
    <row r="2533" spans="1:48" s="27" customFormat="1" ht="18" customHeight="1">
      <c r="A2533" s="12"/>
      <c r="B2533" s="97" t="s">
        <v>560</v>
      </c>
      <c r="C2533" s="29" t="s">
        <v>1319</v>
      </c>
      <c r="D2533" s="51"/>
      <c r="E2533" s="51"/>
      <c r="F2533" s="51">
        <v>85</v>
      </c>
      <c r="G2533" s="51">
        <v>80</v>
      </c>
      <c r="H2533" s="51">
        <v>80</v>
      </c>
      <c r="I2533" s="51">
        <v>75</v>
      </c>
      <c r="J2533" s="51"/>
      <c r="K2533" s="51">
        <v>75</v>
      </c>
      <c r="L2533" s="40">
        <v>12</v>
      </c>
      <c r="M2533" s="40">
        <v>5</v>
      </c>
      <c r="N2533" s="40">
        <v>6</v>
      </c>
      <c r="O2533" s="40">
        <v>8</v>
      </c>
      <c r="P2533" s="40">
        <v>5</v>
      </c>
      <c r="Q2533" s="30"/>
      <c r="R2533" s="30"/>
      <c r="S2533" s="30"/>
      <c r="T2533" s="48"/>
      <c r="U2533" s="48"/>
      <c r="V2533" s="48"/>
      <c r="W2533" s="48"/>
      <c r="X2533" s="48"/>
      <c r="Y2533" s="48"/>
      <c r="Z2533" s="48"/>
      <c r="AA2533" s="48"/>
      <c r="AB2533" s="48"/>
      <c r="AC2533" s="48"/>
      <c r="AD2533" s="48"/>
      <c r="AE2533" s="48"/>
      <c r="AF2533" s="48"/>
      <c r="AG2533" s="48"/>
      <c r="AH2533" s="48"/>
      <c r="AI2533" s="48"/>
      <c r="AJ2533" s="48"/>
      <c r="AK2533" s="48"/>
      <c r="AL2533" s="48"/>
      <c r="AM2533" s="48"/>
      <c r="AN2533" s="48"/>
      <c r="AO2533" s="48"/>
      <c r="AP2533" s="48"/>
      <c r="AQ2533" s="48"/>
      <c r="AR2533" s="48"/>
      <c r="AS2533" s="48"/>
      <c r="AT2533" s="48"/>
      <c r="AU2533" s="48"/>
      <c r="AV2533" s="48"/>
    </row>
    <row r="2534" spans="1:188" s="57" customFormat="1" ht="18" customHeight="1">
      <c r="A2534" s="13">
        <v>10</v>
      </c>
      <c r="B2534" s="92" t="s">
        <v>374</v>
      </c>
      <c r="C2534" s="45"/>
      <c r="D2534" s="44">
        <v>296</v>
      </c>
      <c r="E2534" s="44">
        <v>67</v>
      </c>
      <c r="F2534" s="44">
        <v>78</v>
      </c>
      <c r="G2534" s="44">
        <v>78</v>
      </c>
      <c r="H2534" s="44">
        <v>76</v>
      </c>
      <c r="I2534" s="44">
        <v>75</v>
      </c>
      <c r="J2534" s="44"/>
      <c r="K2534" s="44">
        <v>74</v>
      </c>
      <c r="L2534" s="44">
        <f>L2535</f>
        <v>25</v>
      </c>
      <c r="M2534" s="44">
        <f>M2535</f>
        <v>25</v>
      </c>
      <c r="N2534" s="44">
        <f>N2535</f>
        <v>25</v>
      </c>
      <c r="O2534" s="44">
        <f>O2535</f>
        <v>25</v>
      </c>
      <c r="P2534" s="44">
        <f>P2535</f>
        <v>25</v>
      </c>
      <c r="Q2534" s="54" t="s">
        <v>649</v>
      </c>
      <c r="R2534" s="54">
        <v>10</v>
      </c>
      <c r="S2534" s="55" t="s">
        <v>667</v>
      </c>
      <c r="T2534" s="56"/>
      <c r="U2534" s="56"/>
      <c r="V2534" s="56"/>
      <c r="W2534" s="56"/>
      <c r="X2534" s="56"/>
      <c r="Y2534" s="56"/>
      <c r="Z2534" s="56"/>
      <c r="AA2534" s="56"/>
      <c r="AB2534" s="56"/>
      <c r="AC2534" s="56"/>
      <c r="AD2534" s="56"/>
      <c r="AE2534" s="56"/>
      <c r="AF2534" s="56"/>
      <c r="AG2534" s="56"/>
      <c r="AH2534" s="56"/>
      <c r="AI2534" s="56"/>
      <c r="AJ2534" s="56"/>
      <c r="AK2534" s="56"/>
      <c r="AL2534" s="56"/>
      <c r="AM2534" s="56"/>
      <c r="AN2534" s="56"/>
      <c r="AO2534" s="56"/>
      <c r="AP2534" s="56"/>
      <c r="AQ2534" s="56"/>
      <c r="AR2534" s="56"/>
      <c r="AS2534" s="56"/>
      <c r="AT2534" s="56"/>
      <c r="AU2534" s="56"/>
      <c r="AV2534" s="56"/>
      <c r="AW2534" s="56"/>
      <c r="AX2534" s="56"/>
      <c r="AY2534" s="56"/>
      <c r="AZ2534" s="56"/>
      <c r="BA2534" s="56"/>
      <c r="BB2534" s="56"/>
      <c r="BC2534" s="56"/>
      <c r="BD2534" s="56"/>
      <c r="BE2534" s="56"/>
      <c r="BF2534" s="56"/>
      <c r="BG2534" s="56"/>
      <c r="BH2534" s="56"/>
      <c r="BI2534" s="56"/>
      <c r="BJ2534" s="56"/>
      <c r="BK2534" s="56"/>
      <c r="BL2534" s="56"/>
      <c r="BM2534" s="56"/>
      <c r="BN2534" s="56"/>
      <c r="BO2534" s="56"/>
      <c r="BP2534" s="56"/>
      <c r="BQ2534" s="56"/>
      <c r="BR2534" s="56"/>
      <c r="BS2534" s="56"/>
      <c r="BT2534" s="56"/>
      <c r="BU2534" s="56"/>
      <c r="BV2534" s="56"/>
      <c r="BW2534" s="56"/>
      <c r="BX2534" s="56"/>
      <c r="BY2534" s="56"/>
      <c r="BZ2534" s="56"/>
      <c r="CA2534" s="56"/>
      <c r="CB2534" s="56"/>
      <c r="CC2534" s="56"/>
      <c r="CD2534" s="56"/>
      <c r="CE2534" s="56"/>
      <c r="CF2534" s="56"/>
      <c r="CG2534" s="56"/>
      <c r="CH2534" s="56"/>
      <c r="CI2534" s="56"/>
      <c r="CJ2534" s="56"/>
      <c r="CK2534" s="56"/>
      <c r="CL2534" s="56"/>
      <c r="CM2534" s="56"/>
      <c r="CN2534" s="56"/>
      <c r="CO2534" s="56"/>
      <c r="CP2534" s="56"/>
      <c r="CQ2534" s="56"/>
      <c r="CR2534" s="56"/>
      <c r="CS2534" s="56"/>
      <c r="CT2534" s="56"/>
      <c r="CU2534" s="56"/>
      <c r="CV2534" s="56"/>
      <c r="CW2534" s="56"/>
      <c r="CX2534" s="56"/>
      <c r="CY2534" s="56"/>
      <c r="CZ2534" s="56"/>
      <c r="DA2534" s="56"/>
      <c r="DB2534" s="56"/>
      <c r="DC2534" s="56"/>
      <c r="DD2534" s="56"/>
      <c r="DE2534" s="56"/>
      <c r="DF2534" s="56"/>
      <c r="DG2534" s="56"/>
      <c r="DH2534" s="56"/>
      <c r="DI2534" s="56"/>
      <c r="DJ2534" s="56"/>
      <c r="DK2534" s="56"/>
      <c r="DL2534" s="56"/>
      <c r="DM2534" s="56"/>
      <c r="DN2534" s="56"/>
      <c r="DO2534" s="56"/>
      <c r="DP2534" s="56"/>
      <c r="DQ2534" s="56"/>
      <c r="DR2534" s="56"/>
      <c r="DS2534" s="56"/>
      <c r="DT2534" s="56"/>
      <c r="DU2534" s="56"/>
      <c r="DV2534" s="56"/>
      <c r="DW2534" s="56"/>
      <c r="DX2534" s="56"/>
      <c r="DY2534" s="56"/>
      <c r="DZ2534" s="56"/>
      <c r="EA2534" s="56"/>
      <c r="EB2534" s="56"/>
      <c r="EC2534" s="56"/>
      <c r="ED2534" s="56"/>
      <c r="EE2534" s="56"/>
      <c r="EF2534" s="56"/>
      <c r="EG2534" s="56"/>
      <c r="EH2534" s="56"/>
      <c r="EI2534" s="56"/>
      <c r="EJ2534" s="56"/>
      <c r="EK2534" s="56"/>
      <c r="EL2534" s="56"/>
      <c r="EM2534" s="56"/>
      <c r="EN2534" s="56"/>
      <c r="EO2534" s="56"/>
      <c r="EP2534" s="56"/>
      <c r="EQ2534" s="56"/>
      <c r="ER2534" s="56"/>
      <c r="ES2534" s="56"/>
      <c r="ET2534" s="56"/>
      <c r="EU2534" s="56"/>
      <c r="EV2534" s="56"/>
      <c r="EW2534" s="56"/>
      <c r="EX2534" s="56"/>
      <c r="EY2534" s="56"/>
      <c r="EZ2534" s="56"/>
      <c r="FA2534" s="56"/>
      <c r="FB2534" s="56"/>
      <c r="FC2534" s="56"/>
      <c r="FD2534" s="56"/>
      <c r="FE2534" s="56"/>
      <c r="FF2534" s="56"/>
      <c r="FG2534" s="56"/>
      <c r="FH2534" s="56"/>
      <c r="FI2534" s="56"/>
      <c r="FJ2534" s="56"/>
      <c r="FK2534" s="56"/>
      <c r="FL2534" s="56"/>
      <c r="FM2534" s="56"/>
      <c r="FN2534" s="56"/>
      <c r="FO2534" s="56"/>
      <c r="FP2534" s="56"/>
      <c r="FQ2534" s="56"/>
      <c r="FR2534" s="56"/>
      <c r="FS2534" s="56"/>
      <c r="FT2534" s="56"/>
      <c r="FU2534" s="56"/>
      <c r="FV2534" s="56"/>
      <c r="FW2534" s="56"/>
      <c r="FX2534" s="56"/>
      <c r="FY2534" s="56"/>
      <c r="FZ2534" s="56"/>
      <c r="GA2534" s="56"/>
      <c r="GB2534" s="56"/>
      <c r="GC2534" s="56"/>
      <c r="GD2534" s="56"/>
      <c r="GE2534" s="56"/>
      <c r="GF2534" s="56"/>
    </row>
    <row r="2535" spans="1:48" s="18" customFormat="1" ht="19.5" customHeight="1">
      <c r="A2535" s="50"/>
      <c r="B2535" s="93" t="s">
        <v>669</v>
      </c>
      <c r="C2535" s="16"/>
      <c r="D2535" s="52"/>
      <c r="E2535" s="52"/>
      <c r="F2535" s="52"/>
      <c r="G2535" s="52"/>
      <c r="H2535" s="52"/>
      <c r="I2535" s="52"/>
      <c r="J2535" s="52"/>
      <c r="K2535" s="52"/>
      <c r="L2535" s="60">
        <f>SUM(L2536:L2538)</f>
        <v>25</v>
      </c>
      <c r="M2535" s="60">
        <f>SUM(M2536:M2538)</f>
        <v>25</v>
      </c>
      <c r="N2535" s="60">
        <f>SUM(N2536:N2538)</f>
        <v>25</v>
      </c>
      <c r="O2535" s="60">
        <f>SUM(O2536:O2538)</f>
        <v>25</v>
      </c>
      <c r="P2535" s="60">
        <f>SUM(P2536:P2538)</f>
        <v>25</v>
      </c>
      <c r="Q2535" s="23"/>
      <c r="R2535" s="23"/>
      <c r="S2535" s="17"/>
      <c r="T2535" s="47"/>
      <c r="U2535" s="47"/>
      <c r="V2535" s="47"/>
      <c r="W2535" s="47"/>
      <c r="X2535" s="47"/>
      <c r="Y2535" s="47"/>
      <c r="Z2535" s="47"/>
      <c r="AA2535" s="47"/>
      <c r="AB2535" s="47"/>
      <c r="AC2535" s="47"/>
      <c r="AD2535" s="47"/>
      <c r="AE2535" s="47"/>
      <c r="AF2535" s="47"/>
      <c r="AG2535" s="47"/>
      <c r="AH2535" s="47"/>
      <c r="AI2535" s="47"/>
      <c r="AJ2535" s="47"/>
      <c r="AK2535" s="47"/>
      <c r="AL2535" s="47"/>
      <c r="AM2535" s="47"/>
      <c r="AN2535" s="47"/>
      <c r="AO2535" s="47"/>
      <c r="AP2535" s="47"/>
      <c r="AQ2535" s="47"/>
      <c r="AR2535" s="47"/>
      <c r="AS2535" s="47"/>
      <c r="AT2535" s="47"/>
      <c r="AU2535" s="47"/>
      <c r="AV2535" s="47"/>
    </row>
    <row r="2536" spans="1:48" s="27" customFormat="1" ht="19.5" customHeight="1">
      <c r="A2536" s="12"/>
      <c r="B2536" s="97" t="s">
        <v>131</v>
      </c>
      <c r="C2536" s="29" t="s">
        <v>132</v>
      </c>
      <c r="D2536" s="51"/>
      <c r="E2536" s="51"/>
      <c r="F2536" s="51"/>
      <c r="G2536" s="51"/>
      <c r="H2536" s="51"/>
      <c r="I2536" s="51"/>
      <c r="J2536" s="51"/>
      <c r="K2536" s="51"/>
      <c r="L2536" s="40">
        <v>10</v>
      </c>
      <c r="M2536" s="40">
        <v>10</v>
      </c>
      <c r="N2536" s="40">
        <v>10</v>
      </c>
      <c r="O2536" s="40">
        <v>10</v>
      </c>
      <c r="P2536" s="40">
        <v>10</v>
      </c>
      <c r="Q2536" s="30"/>
      <c r="R2536" s="30"/>
      <c r="S2536" s="30"/>
      <c r="T2536" s="48"/>
      <c r="U2536" s="48"/>
      <c r="V2536" s="48"/>
      <c r="W2536" s="48"/>
      <c r="X2536" s="48"/>
      <c r="Y2536" s="48"/>
      <c r="Z2536" s="48"/>
      <c r="AA2536" s="48"/>
      <c r="AB2536" s="48"/>
      <c r="AC2536" s="48"/>
      <c r="AD2536" s="48"/>
      <c r="AE2536" s="48"/>
      <c r="AF2536" s="48"/>
      <c r="AG2536" s="48"/>
      <c r="AH2536" s="48"/>
      <c r="AI2536" s="48"/>
      <c r="AJ2536" s="48"/>
      <c r="AK2536" s="48"/>
      <c r="AL2536" s="48"/>
      <c r="AM2536" s="48"/>
      <c r="AN2536" s="48"/>
      <c r="AO2536" s="48"/>
      <c r="AP2536" s="48"/>
      <c r="AQ2536" s="48"/>
      <c r="AR2536" s="48"/>
      <c r="AS2536" s="48"/>
      <c r="AT2536" s="48"/>
      <c r="AU2536" s="48"/>
      <c r="AV2536" s="48"/>
    </row>
    <row r="2537" spans="1:48" s="27" customFormat="1" ht="19.5" customHeight="1">
      <c r="A2537" s="12"/>
      <c r="B2537" s="97" t="s">
        <v>90</v>
      </c>
      <c r="C2537" s="29" t="s">
        <v>91</v>
      </c>
      <c r="D2537" s="51"/>
      <c r="E2537" s="51"/>
      <c r="F2537" s="51"/>
      <c r="G2537" s="51"/>
      <c r="H2537" s="51"/>
      <c r="I2537" s="51"/>
      <c r="J2537" s="51"/>
      <c r="K2537" s="51"/>
      <c r="L2537" s="40">
        <v>11</v>
      </c>
      <c r="M2537" s="40">
        <v>11</v>
      </c>
      <c r="N2537" s="40">
        <v>11</v>
      </c>
      <c r="O2537" s="40">
        <v>11</v>
      </c>
      <c r="P2537" s="40">
        <v>11</v>
      </c>
      <c r="Q2537" s="30"/>
      <c r="R2537" s="30"/>
      <c r="S2537" s="30"/>
      <c r="T2537" s="48"/>
      <c r="U2537" s="48"/>
      <c r="V2537" s="48"/>
      <c r="W2537" s="48"/>
      <c r="X2537" s="48"/>
      <c r="Y2537" s="48"/>
      <c r="Z2537" s="48"/>
      <c r="AA2537" s="48"/>
      <c r="AB2537" s="48"/>
      <c r="AC2537" s="48"/>
      <c r="AD2537" s="48"/>
      <c r="AE2537" s="48"/>
      <c r="AF2537" s="48"/>
      <c r="AG2537" s="48"/>
      <c r="AH2537" s="48"/>
      <c r="AI2537" s="48"/>
      <c r="AJ2537" s="48"/>
      <c r="AK2537" s="48"/>
      <c r="AL2537" s="48"/>
      <c r="AM2537" s="48"/>
      <c r="AN2537" s="48"/>
      <c r="AO2537" s="48"/>
      <c r="AP2537" s="48"/>
      <c r="AQ2537" s="48"/>
      <c r="AR2537" s="48"/>
      <c r="AS2537" s="48"/>
      <c r="AT2537" s="48"/>
      <c r="AU2537" s="48"/>
      <c r="AV2537" s="48"/>
    </row>
    <row r="2538" spans="1:48" s="27" customFormat="1" ht="19.5" customHeight="1">
      <c r="A2538" s="12"/>
      <c r="B2538" s="97" t="s">
        <v>630</v>
      </c>
      <c r="C2538" s="64" t="s">
        <v>631</v>
      </c>
      <c r="D2538" s="51"/>
      <c r="E2538" s="51"/>
      <c r="F2538" s="51"/>
      <c r="G2538" s="51"/>
      <c r="H2538" s="51"/>
      <c r="I2538" s="51"/>
      <c r="J2538" s="51"/>
      <c r="K2538" s="51"/>
      <c r="L2538" s="40">
        <v>4</v>
      </c>
      <c r="M2538" s="40">
        <v>4</v>
      </c>
      <c r="N2538" s="40">
        <v>4</v>
      </c>
      <c r="O2538" s="40">
        <v>4</v>
      </c>
      <c r="P2538" s="40">
        <v>4</v>
      </c>
      <c r="Q2538" s="30"/>
      <c r="R2538" s="30"/>
      <c r="S2538" s="30"/>
      <c r="T2538" s="48"/>
      <c r="U2538" s="48"/>
      <c r="V2538" s="48"/>
      <c r="W2538" s="48"/>
      <c r="X2538" s="48"/>
      <c r="Y2538" s="48"/>
      <c r="Z2538" s="48"/>
      <c r="AA2538" s="48"/>
      <c r="AB2538" s="48"/>
      <c r="AC2538" s="48"/>
      <c r="AD2538" s="48"/>
      <c r="AE2538" s="48"/>
      <c r="AF2538" s="48"/>
      <c r="AG2538" s="48"/>
      <c r="AH2538" s="48"/>
      <c r="AI2538" s="48"/>
      <c r="AJ2538" s="48"/>
      <c r="AK2538" s="48"/>
      <c r="AL2538" s="48"/>
      <c r="AM2538" s="48"/>
      <c r="AN2538" s="48"/>
      <c r="AO2538" s="48"/>
      <c r="AP2538" s="48"/>
      <c r="AQ2538" s="48"/>
      <c r="AR2538" s="48"/>
      <c r="AS2538" s="48"/>
      <c r="AT2538" s="48"/>
      <c r="AU2538" s="48"/>
      <c r="AV2538" s="48"/>
    </row>
    <row r="2539" spans="1:19" ht="15" customHeight="1">
      <c r="A2539" s="399" t="s">
        <v>661</v>
      </c>
      <c r="B2539" s="399"/>
      <c r="C2539" s="399"/>
      <c r="D2539" s="399"/>
      <c r="E2539" s="399"/>
      <c r="F2539" s="399"/>
      <c r="G2539" s="399"/>
      <c r="H2539" s="399"/>
      <c r="I2539" s="399"/>
      <c r="J2539" s="399"/>
      <c r="K2539" s="399"/>
      <c r="L2539" s="399"/>
      <c r="M2539" s="399"/>
      <c r="N2539" s="399"/>
      <c r="O2539" s="399"/>
      <c r="P2539" s="399"/>
      <c r="Q2539" s="20"/>
      <c r="R2539" s="20"/>
      <c r="S2539" s="7"/>
    </row>
    <row r="2540" spans="1:19" ht="13.5" customHeight="1">
      <c r="A2540" s="400" t="s">
        <v>676</v>
      </c>
      <c r="B2540" s="400"/>
      <c r="C2540" s="400"/>
      <c r="D2540" s="400"/>
      <c r="E2540" s="400"/>
      <c r="F2540" s="400"/>
      <c r="G2540" s="400"/>
      <c r="H2540" s="400"/>
      <c r="I2540" s="400"/>
      <c r="J2540" s="400"/>
      <c r="K2540" s="400"/>
      <c r="L2540" s="400"/>
      <c r="M2540" s="400"/>
      <c r="N2540" s="400"/>
      <c r="O2540" s="400"/>
      <c r="P2540" s="400"/>
      <c r="Q2540" s="21"/>
      <c r="R2540" s="21"/>
      <c r="S2540" s="8"/>
    </row>
    <row r="2541" spans="1:188" s="57" customFormat="1" ht="18" customHeight="1">
      <c r="A2541" s="13">
        <v>11</v>
      </c>
      <c r="B2541" s="92" t="s">
        <v>375</v>
      </c>
      <c r="C2541" s="45"/>
      <c r="D2541" s="44">
        <v>128</v>
      </c>
      <c r="E2541" s="44">
        <v>39</v>
      </c>
      <c r="F2541" s="44"/>
      <c r="G2541" s="44"/>
      <c r="H2541" s="44"/>
      <c r="I2541" s="44"/>
      <c r="J2541" s="44"/>
      <c r="K2541" s="44"/>
      <c r="L2541" s="44">
        <v>5</v>
      </c>
      <c r="M2541" s="44">
        <v>5</v>
      </c>
      <c r="N2541" s="44">
        <v>5</v>
      </c>
      <c r="O2541" s="44">
        <v>6</v>
      </c>
      <c r="P2541" s="44">
        <v>6</v>
      </c>
      <c r="Q2541" s="54" t="s">
        <v>649</v>
      </c>
      <c r="R2541" s="54">
        <v>10</v>
      </c>
      <c r="S2541" s="55" t="s">
        <v>667</v>
      </c>
      <c r="T2541" s="56"/>
      <c r="U2541" s="56"/>
      <c r="V2541" s="56"/>
      <c r="W2541" s="56"/>
      <c r="X2541" s="56"/>
      <c r="Y2541" s="56"/>
      <c r="Z2541" s="56"/>
      <c r="AA2541" s="56"/>
      <c r="AB2541" s="56"/>
      <c r="AC2541" s="56"/>
      <c r="AD2541" s="56"/>
      <c r="AE2541" s="56"/>
      <c r="AF2541" s="56"/>
      <c r="AG2541" s="56"/>
      <c r="AH2541" s="56"/>
      <c r="AI2541" s="56"/>
      <c r="AJ2541" s="56"/>
      <c r="AK2541" s="56"/>
      <c r="AL2541" s="56"/>
      <c r="AM2541" s="56"/>
      <c r="AN2541" s="56"/>
      <c r="AO2541" s="56"/>
      <c r="AP2541" s="56"/>
      <c r="AQ2541" s="56"/>
      <c r="AR2541" s="56"/>
      <c r="AS2541" s="56"/>
      <c r="AT2541" s="56"/>
      <c r="AU2541" s="56"/>
      <c r="AV2541" s="56"/>
      <c r="AW2541" s="56"/>
      <c r="AX2541" s="56"/>
      <c r="AY2541" s="56"/>
      <c r="AZ2541" s="56"/>
      <c r="BA2541" s="56"/>
      <c r="BB2541" s="56"/>
      <c r="BC2541" s="56"/>
      <c r="BD2541" s="56"/>
      <c r="BE2541" s="56"/>
      <c r="BF2541" s="56"/>
      <c r="BG2541" s="56"/>
      <c r="BH2541" s="56"/>
      <c r="BI2541" s="56"/>
      <c r="BJ2541" s="56"/>
      <c r="BK2541" s="56"/>
      <c r="BL2541" s="56"/>
      <c r="BM2541" s="56"/>
      <c r="BN2541" s="56"/>
      <c r="BO2541" s="56"/>
      <c r="BP2541" s="56"/>
      <c r="BQ2541" s="56"/>
      <c r="BR2541" s="56"/>
      <c r="BS2541" s="56"/>
      <c r="BT2541" s="56"/>
      <c r="BU2541" s="56"/>
      <c r="BV2541" s="56"/>
      <c r="BW2541" s="56"/>
      <c r="BX2541" s="56"/>
      <c r="BY2541" s="56"/>
      <c r="BZ2541" s="56"/>
      <c r="CA2541" s="56"/>
      <c r="CB2541" s="56"/>
      <c r="CC2541" s="56"/>
      <c r="CD2541" s="56"/>
      <c r="CE2541" s="56"/>
      <c r="CF2541" s="56"/>
      <c r="CG2541" s="56"/>
      <c r="CH2541" s="56"/>
      <c r="CI2541" s="56"/>
      <c r="CJ2541" s="56"/>
      <c r="CK2541" s="56"/>
      <c r="CL2541" s="56"/>
      <c r="CM2541" s="56"/>
      <c r="CN2541" s="56"/>
      <c r="CO2541" s="56"/>
      <c r="CP2541" s="56"/>
      <c r="CQ2541" s="56"/>
      <c r="CR2541" s="56"/>
      <c r="CS2541" s="56"/>
      <c r="CT2541" s="56"/>
      <c r="CU2541" s="56"/>
      <c r="CV2541" s="56"/>
      <c r="CW2541" s="56"/>
      <c r="CX2541" s="56"/>
      <c r="CY2541" s="56"/>
      <c r="CZ2541" s="56"/>
      <c r="DA2541" s="56"/>
      <c r="DB2541" s="56"/>
      <c r="DC2541" s="56"/>
      <c r="DD2541" s="56"/>
      <c r="DE2541" s="56"/>
      <c r="DF2541" s="56"/>
      <c r="DG2541" s="56"/>
      <c r="DH2541" s="56"/>
      <c r="DI2541" s="56"/>
      <c r="DJ2541" s="56"/>
      <c r="DK2541" s="56"/>
      <c r="DL2541" s="56"/>
      <c r="DM2541" s="56"/>
      <c r="DN2541" s="56"/>
      <c r="DO2541" s="56"/>
      <c r="DP2541" s="56"/>
      <c r="DQ2541" s="56"/>
      <c r="DR2541" s="56"/>
      <c r="DS2541" s="56"/>
      <c r="DT2541" s="56"/>
      <c r="DU2541" s="56"/>
      <c r="DV2541" s="56"/>
      <c r="DW2541" s="56"/>
      <c r="DX2541" s="56"/>
      <c r="DY2541" s="56"/>
      <c r="DZ2541" s="56"/>
      <c r="EA2541" s="56"/>
      <c r="EB2541" s="56"/>
      <c r="EC2541" s="56"/>
      <c r="ED2541" s="56"/>
      <c r="EE2541" s="56"/>
      <c r="EF2541" s="56"/>
      <c r="EG2541" s="56"/>
      <c r="EH2541" s="56"/>
      <c r="EI2541" s="56"/>
      <c r="EJ2541" s="56"/>
      <c r="EK2541" s="56"/>
      <c r="EL2541" s="56"/>
      <c r="EM2541" s="56"/>
      <c r="EN2541" s="56"/>
      <c r="EO2541" s="56"/>
      <c r="EP2541" s="56"/>
      <c r="EQ2541" s="56"/>
      <c r="ER2541" s="56"/>
      <c r="ES2541" s="56"/>
      <c r="ET2541" s="56"/>
      <c r="EU2541" s="56"/>
      <c r="EV2541" s="56"/>
      <c r="EW2541" s="56"/>
      <c r="EX2541" s="56"/>
      <c r="EY2541" s="56"/>
      <c r="EZ2541" s="56"/>
      <c r="FA2541" s="56"/>
      <c r="FB2541" s="56"/>
      <c r="FC2541" s="56"/>
      <c r="FD2541" s="56"/>
      <c r="FE2541" s="56"/>
      <c r="FF2541" s="56"/>
      <c r="FG2541" s="56"/>
      <c r="FH2541" s="56"/>
      <c r="FI2541" s="56"/>
      <c r="FJ2541" s="56"/>
      <c r="FK2541" s="56"/>
      <c r="FL2541" s="56"/>
      <c r="FM2541" s="56"/>
      <c r="FN2541" s="56"/>
      <c r="FO2541" s="56"/>
      <c r="FP2541" s="56"/>
      <c r="FQ2541" s="56"/>
      <c r="FR2541" s="56"/>
      <c r="FS2541" s="56"/>
      <c r="FT2541" s="56"/>
      <c r="FU2541" s="56"/>
      <c r="FV2541" s="56"/>
      <c r="FW2541" s="56"/>
      <c r="FX2541" s="56"/>
      <c r="FY2541" s="56"/>
      <c r="FZ2541" s="56"/>
      <c r="GA2541" s="56"/>
      <c r="GB2541" s="56"/>
      <c r="GC2541" s="56"/>
      <c r="GD2541" s="56"/>
      <c r="GE2541" s="56"/>
      <c r="GF2541" s="56"/>
    </row>
    <row r="2542" spans="1:48" s="18" customFormat="1" ht="18.75" customHeight="1">
      <c r="A2542" s="50"/>
      <c r="B2542" s="93" t="s">
        <v>669</v>
      </c>
      <c r="C2542" s="16"/>
      <c r="D2542" s="52"/>
      <c r="E2542" s="52"/>
      <c r="F2542" s="52"/>
      <c r="G2542" s="52"/>
      <c r="H2542" s="52"/>
      <c r="I2542" s="52"/>
      <c r="J2542" s="52"/>
      <c r="K2542" s="52"/>
      <c r="L2542" s="60">
        <f>L2543</f>
        <v>3</v>
      </c>
      <c r="M2542" s="60">
        <f>M2543</f>
        <v>3</v>
      </c>
      <c r="N2542" s="60">
        <f>N2543</f>
        <v>3</v>
      </c>
      <c r="O2542" s="60">
        <f>O2543</f>
        <v>4</v>
      </c>
      <c r="P2542" s="60">
        <f>P2543</f>
        <v>4</v>
      </c>
      <c r="Q2542" s="23"/>
      <c r="R2542" s="23"/>
      <c r="S2542" s="17"/>
      <c r="T2542" s="47"/>
      <c r="U2542" s="47"/>
      <c r="V2542" s="47"/>
      <c r="W2542" s="47"/>
      <c r="X2542" s="47"/>
      <c r="Y2542" s="47"/>
      <c r="Z2542" s="47"/>
      <c r="AA2542" s="47"/>
      <c r="AB2542" s="47"/>
      <c r="AC2542" s="47"/>
      <c r="AD2542" s="47"/>
      <c r="AE2542" s="47"/>
      <c r="AF2542" s="47"/>
      <c r="AG2542" s="47"/>
      <c r="AH2542" s="47"/>
      <c r="AI2542" s="47"/>
      <c r="AJ2542" s="47"/>
      <c r="AK2542" s="47"/>
      <c r="AL2542" s="47"/>
      <c r="AM2542" s="47"/>
      <c r="AN2542" s="47"/>
      <c r="AO2542" s="47"/>
      <c r="AP2542" s="47"/>
      <c r="AQ2542" s="47"/>
      <c r="AR2542" s="47"/>
      <c r="AS2542" s="47"/>
      <c r="AT2542" s="47"/>
      <c r="AU2542" s="47"/>
      <c r="AV2542" s="47"/>
    </row>
    <row r="2543" spans="1:48" s="27" customFormat="1" ht="18.75" customHeight="1">
      <c r="A2543" s="12"/>
      <c r="B2543" s="97" t="s">
        <v>560</v>
      </c>
      <c r="C2543" s="29" t="s">
        <v>1319</v>
      </c>
      <c r="D2543" s="51"/>
      <c r="E2543" s="51"/>
      <c r="F2543" s="51"/>
      <c r="G2543" s="51"/>
      <c r="H2543" s="51"/>
      <c r="I2543" s="51"/>
      <c r="J2543" s="51"/>
      <c r="K2543" s="51"/>
      <c r="L2543" s="40">
        <v>3</v>
      </c>
      <c r="M2543" s="40">
        <v>3</v>
      </c>
      <c r="N2543" s="40">
        <v>3</v>
      </c>
      <c r="O2543" s="40">
        <v>4</v>
      </c>
      <c r="P2543" s="40">
        <v>4</v>
      </c>
      <c r="Q2543" s="30"/>
      <c r="R2543" s="30"/>
      <c r="S2543" s="30"/>
      <c r="T2543" s="48"/>
      <c r="U2543" s="48"/>
      <c r="V2543" s="48"/>
      <c r="W2543" s="48"/>
      <c r="X2543" s="48"/>
      <c r="Y2543" s="48"/>
      <c r="Z2543" s="48"/>
      <c r="AA2543" s="48"/>
      <c r="AB2543" s="48"/>
      <c r="AC2543" s="48"/>
      <c r="AD2543" s="48"/>
      <c r="AE2543" s="48"/>
      <c r="AF2543" s="48"/>
      <c r="AG2543" s="48"/>
      <c r="AH2543" s="48"/>
      <c r="AI2543" s="48"/>
      <c r="AJ2543" s="48"/>
      <c r="AK2543" s="48"/>
      <c r="AL2543" s="48"/>
      <c r="AM2543" s="48"/>
      <c r="AN2543" s="48"/>
      <c r="AO2543" s="48"/>
      <c r="AP2543" s="48"/>
      <c r="AQ2543" s="48"/>
      <c r="AR2543" s="48"/>
      <c r="AS2543" s="48"/>
      <c r="AT2543" s="48"/>
      <c r="AU2543" s="48"/>
      <c r="AV2543" s="48"/>
    </row>
    <row r="2544" spans="1:48" s="18" customFormat="1" ht="16.5" customHeight="1">
      <c r="A2544" s="50"/>
      <c r="B2544" s="93" t="s">
        <v>670</v>
      </c>
      <c r="C2544" s="16"/>
      <c r="D2544" s="52"/>
      <c r="E2544" s="52"/>
      <c r="F2544" s="52"/>
      <c r="G2544" s="52"/>
      <c r="H2544" s="52"/>
      <c r="I2544" s="52"/>
      <c r="J2544" s="52"/>
      <c r="K2544" s="52"/>
      <c r="L2544" s="60">
        <f>L2545</f>
        <v>2</v>
      </c>
      <c r="M2544" s="60">
        <f>M2545</f>
        <v>2</v>
      </c>
      <c r="N2544" s="60">
        <v>2</v>
      </c>
      <c r="O2544" s="60">
        <f>O2545</f>
        <v>2</v>
      </c>
      <c r="P2544" s="60">
        <f>P2545</f>
        <v>2</v>
      </c>
      <c r="Q2544" s="23"/>
      <c r="R2544" s="23"/>
      <c r="S2544" s="17"/>
      <c r="T2544" s="47"/>
      <c r="U2544" s="47"/>
      <c r="V2544" s="47"/>
      <c r="W2544" s="47"/>
      <c r="X2544" s="47"/>
      <c r="Y2544" s="47"/>
      <c r="Z2544" s="47"/>
      <c r="AA2544" s="47"/>
      <c r="AB2544" s="47"/>
      <c r="AC2544" s="47"/>
      <c r="AD2544" s="47"/>
      <c r="AE2544" s="47"/>
      <c r="AF2544" s="47"/>
      <c r="AG2544" s="47"/>
      <c r="AH2544" s="47"/>
      <c r="AI2544" s="47"/>
      <c r="AJ2544" s="47"/>
      <c r="AK2544" s="47"/>
      <c r="AL2544" s="47"/>
      <c r="AM2544" s="47"/>
      <c r="AN2544" s="47"/>
      <c r="AO2544" s="47"/>
      <c r="AP2544" s="47"/>
      <c r="AQ2544" s="47"/>
      <c r="AR2544" s="47"/>
      <c r="AS2544" s="47"/>
      <c r="AT2544" s="47"/>
      <c r="AU2544" s="47"/>
      <c r="AV2544" s="47"/>
    </row>
    <row r="2545" spans="1:48" s="27" customFormat="1" ht="16.5" customHeight="1">
      <c r="A2545" s="12"/>
      <c r="B2545" s="97" t="s">
        <v>301</v>
      </c>
      <c r="C2545" s="15" t="s">
        <v>302</v>
      </c>
      <c r="D2545" s="51"/>
      <c r="E2545" s="51"/>
      <c r="F2545" s="51"/>
      <c r="G2545" s="51"/>
      <c r="H2545" s="51"/>
      <c r="I2545" s="51"/>
      <c r="J2545" s="51"/>
      <c r="K2545" s="51"/>
      <c r="L2545" s="40">
        <v>2</v>
      </c>
      <c r="M2545" s="40">
        <v>2</v>
      </c>
      <c r="N2545" s="40">
        <v>2</v>
      </c>
      <c r="O2545" s="40">
        <v>2</v>
      </c>
      <c r="P2545" s="40">
        <v>2</v>
      </c>
      <c r="Q2545" s="30"/>
      <c r="R2545" s="30"/>
      <c r="S2545" s="30"/>
      <c r="T2545" s="48"/>
      <c r="U2545" s="48"/>
      <c r="V2545" s="48"/>
      <c r="W2545" s="48"/>
      <c r="X2545" s="48"/>
      <c r="Y2545" s="48"/>
      <c r="Z2545" s="48"/>
      <c r="AA2545" s="48"/>
      <c r="AB2545" s="48"/>
      <c r="AC2545" s="48"/>
      <c r="AD2545" s="48"/>
      <c r="AE2545" s="48"/>
      <c r="AF2545" s="48"/>
      <c r="AG2545" s="48"/>
      <c r="AH2545" s="48"/>
      <c r="AI2545" s="48"/>
      <c r="AJ2545" s="48"/>
      <c r="AK2545" s="48"/>
      <c r="AL2545" s="48"/>
      <c r="AM2545" s="48"/>
      <c r="AN2545" s="48"/>
      <c r="AO2545" s="48"/>
      <c r="AP2545" s="48"/>
      <c r="AQ2545" s="48"/>
      <c r="AR2545" s="48"/>
      <c r="AS2545" s="48"/>
      <c r="AT2545" s="48"/>
      <c r="AU2545" s="48"/>
      <c r="AV2545" s="48"/>
    </row>
    <row r="2546" spans="1:188" s="57" customFormat="1" ht="18" customHeight="1">
      <c r="A2546" s="13">
        <v>12</v>
      </c>
      <c r="B2546" s="92" t="s">
        <v>376</v>
      </c>
      <c r="C2546" s="45"/>
      <c r="D2546" s="44">
        <v>200</v>
      </c>
      <c r="E2546" s="44"/>
      <c r="F2546" s="44"/>
      <c r="G2546" s="44"/>
      <c r="H2546" s="44"/>
      <c r="I2546" s="44"/>
      <c r="J2546" s="44"/>
      <c r="K2546" s="44"/>
      <c r="L2546" s="44">
        <f>L2547+L2550</f>
        <v>33</v>
      </c>
      <c r="M2546" s="44">
        <f>M2547+M2550</f>
        <v>33</v>
      </c>
      <c r="N2546" s="44">
        <f>N2547+N2550</f>
        <v>33</v>
      </c>
      <c r="O2546" s="44">
        <f>O2547+O2550</f>
        <v>33</v>
      </c>
      <c r="P2546" s="44">
        <f>P2547+P2550</f>
        <v>33</v>
      </c>
      <c r="Q2546" s="54" t="s">
        <v>649</v>
      </c>
      <c r="R2546" s="54">
        <v>10</v>
      </c>
      <c r="S2546" s="55" t="s">
        <v>667</v>
      </c>
      <c r="T2546" s="56"/>
      <c r="U2546" s="56"/>
      <c r="V2546" s="56"/>
      <c r="W2546" s="56"/>
      <c r="X2546" s="56"/>
      <c r="Y2546" s="56"/>
      <c r="Z2546" s="56"/>
      <c r="AA2546" s="56"/>
      <c r="AB2546" s="56"/>
      <c r="AC2546" s="56"/>
      <c r="AD2546" s="56"/>
      <c r="AE2546" s="56"/>
      <c r="AF2546" s="56"/>
      <c r="AG2546" s="56"/>
      <c r="AH2546" s="56"/>
      <c r="AI2546" s="56"/>
      <c r="AJ2546" s="56"/>
      <c r="AK2546" s="56"/>
      <c r="AL2546" s="56"/>
      <c r="AM2546" s="56"/>
      <c r="AN2546" s="56"/>
      <c r="AO2546" s="56"/>
      <c r="AP2546" s="56"/>
      <c r="AQ2546" s="56"/>
      <c r="AR2546" s="56"/>
      <c r="AS2546" s="56"/>
      <c r="AT2546" s="56"/>
      <c r="AU2546" s="56"/>
      <c r="AV2546" s="56"/>
      <c r="AW2546" s="56"/>
      <c r="AX2546" s="56"/>
      <c r="AY2546" s="56"/>
      <c r="AZ2546" s="56"/>
      <c r="BA2546" s="56"/>
      <c r="BB2546" s="56"/>
      <c r="BC2546" s="56"/>
      <c r="BD2546" s="56"/>
      <c r="BE2546" s="56"/>
      <c r="BF2546" s="56"/>
      <c r="BG2546" s="56"/>
      <c r="BH2546" s="56"/>
      <c r="BI2546" s="56"/>
      <c r="BJ2546" s="56"/>
      <c r="BK2546" s="56"/>
      <c r="BL2546" s="56"/>
      <c r="BM2546" s="56"/>
      <c r="BN2546" s="56"/>
      <c r="BO2546" s="56"/>
      <c r="BP2546" s="56"/>
      <c r="BQ2546" s="56"/>
      <c r="BR2546" s="56"/>
      <c r="BS2546" s="56"/>
      <c r="BT2546" s="56"/>
      <c r="BU2546" s="56"/>
      <c r="BV2546" s="56"/>
      <c r="BW2546" s="56"/>
      <c r="BX2546" s="56"/>
      <c r="BY2546" s="56"/>
      <c r="BZ2546" s="56"/>
      <c r="CA2546" s="56"/>
      <c r="CB2546" s="56"/>
      <c r="CC2546" s="56"/>
      <c r="CD2546" s="56"/>
      <c r="CE2546" s="56"/>
      <c r="CF2546" s="56"/>
      <c r="CG2546" s="56"/>
      <c r="CH2546" s="56"/>
      <c r="CI2546" s="56"/>
      <c r="CJ2546" s="56"/>
      <c r="CK2546" s="56"/>
      <c r="CL2546" s="56"/>
      <c r="CM2546" s="56"/>
      <c r="CN2546" s="56"/>
      <c r="CO2546" s="56"/>
      <c r="CP2546" s="56"/>
      <c r="CQ2546" s="56"/>
      <c r="CR2546" s="56"/>
      <c r="CS2546" s="56"/>
      <c r="CT2546" s="56"/>
      <c r="CU2546" s="56"/>
      <c r="CV2546" s="56"/>
      <c r="CW2546" s="56"/>
      <c r="CX2546" s="56"/>
      <c r="CY2546" s="56"/>
      <c r="CZ2546" s="56"/>
      <c r="DA2546" s="56"/>
      <c r="DB2546" s="56"/>
      <c r="DC2546" s="56"/>
      <c r="DD2546" s="56"/>
      <c r="DE2546" s="56"/>
      <c r="DF2546" s="56"/>
      <c r="DG2546" s="56"/>
      <c r="DH2546" s="56"/>
      <c r="DI2546" s="56"/>
      <c r="DJ2546" s="56"/>
      <c r="DK2546" s="56"/>
      <c r="DL2546" s="56"/>
      <c r="DM2546" s="56"/>
      <c r="DN2546" s="56"/>
      <c r="DO2546" s="56"/>
      <c r="DP2546" s="56"/>
      <c r="DQ2546" s="56"/>
      <c r="DR2546" s="56"/>
      <c r="DS2546" s="56"/>
      <c r="DT2546" s="56"/>
      <c r="DU2546" s="56"/>
      <c r="DV2546" s="56"/>
      <c r="DW2546" s="56"/>
      <c r="DX2546" s="56"/>
      <c r="DY2546" s="56"/>
      <c r="DZ2546" s="56"/>
      <c r="EA2546" s="56"/>
      <c r="EB2546" s="56"/>
      <c r="EC2546" s="56"/>
      <c r="ED2546" s="56"/>
      <c r="EE2546" s="56"/>
      <c r="EF2546" s="56"/>
      <c r="EG2546" s="56"/>
      <c r="EH2546" s="56"/>
      <c r="EI2546" s="56"/>
      <c r="EJ2546" s="56"/>
      <c r="EK2546" s="56"/>
      <c r="EL2546" s="56"/>
      <c r="EM2546" s="56"/>
      <c r="EN2546" s="56"/>
      <c r="EO2546" s="56"/>
      <c r="EP2546" s="56"/>
      <c r="EQ2546" s="56"/>
      <c r="ER2546" s="56"/>
      <c r="ES2546" s="56"/>
      <c r="ET2546" s="56"/>
      <c r="EU2546" s="56"/>
      <c r="EV2546" s="56"/>
      <c r="EW2546" s="56"/>
      <c r="EX2546" s="56"/>
      <c r="EY2546" s="56"/>
      <c r="EZ2546" s="56"/>
      <c r="FA2546" s="56"/>
      <c r="FB2546" s="56"/>
      <c r="FC2546" s="56"/>
      <c r="FD2546" s="56"/>
      <c r="FE2546" s="56"/>
      <c r="FF2546" s="56"/>
      <c r="FG2546" s="56"/>
      <c r="FH2546" s="56"/>
      <c r="FI2546" s="56"/>
      <c r="FJ2546" s="56"/>
      <c r="FK2546" s="56"/>
      <c r="FL2546" s="56"/>
      <c r="FM2546" s="56"/>
      <c r="FN2546" s="56"/>
      <c r="FO2546" s="56"/>
      <c r="FP2546" s="56"/>
      <c r="FQ2546" s="56"/>
      <c r="FR2546" s="56"/>
      <c r="FS2546" s="56"/>
      <c r="FT2546" s="56"/>
      <c r="FU2546" s="56"/>
      <c r="FV2546" s="56"/>
      <c r="FW2546" s="56"/>
      <c r="FX2546" s="56"/>
      <c r="FY2546" s="56"/>
      <c r="FZ2546" s="56"/>
      <c r="GA2546" s="56"/>
      <c r="GB2546" s="56"/>
      <c r="GC2546" s="56"/>
      <c r="GD2546" s="56"/>
      <c r="GE2546" s="56"/>
      <c r="GF2546" s="56"/>
    </row>
    <row r="2547" spans="1:48" s="18" customFormat="1" ht="15.75" customHeight="1">
      <c r="A2547" s="50"/>
      <c r="B2547" s="93" t="s">
        <v>669</v>
      </c>
      <c r="C2547" s="16"/>
      <c r="D2547" s="52"/>
      <c r="E2547" s="52"/>
      <c r="F2547" s="52"/>
      <c r="G2547" s="52"/>
      <c r="H2547" s="52"/>
      <c r="I2547" s="52"/>
      <c r="J2547" s="52"/>
      <c r="K2547" s="52"/>
      <c r="L2547" s="60">
        <f>SUM(L2548:L2549)</f>
        <v>13</v>
      </c>
      <c r="M2547" s="60">
        <f>SUM(M2548:M2549)</f>
        <v>13</v>
      </c>
      <c r="N2547" s="60">
        <f>SUM(N2548:N2549)</f>
        <v>13</v>
      </c>
      <c r="O2547" s="60">
        <f>SUM(O2548:O2549)</f>
        <v>13</v>
      </c>
      <c r="P2547" s="60">
        <f>SUM(P2548:P2549)</f>
        <v>13</v>
      </c>
      <c r="Q2547" s="23"/>
      <c r="R2547" s="23"/>
      <c r="S2547" s="17"/>
      <c r="T2547" s="47"/>
      <c r="U2547" s="47"/>
      <c r="V2547" s="47"/>
      <c r="W2547" s="47"/>
      <c r="X2547" s="47"/>
      <c r="Y2547" s="47"/>
      <c r="Z2547" s="47"/>
      <c r="AA2547" s="47"/>
      <c r="AB2547" s="47"/>
      <c r="AC2547" s="47"/>
      <c r="AD2547" s="47"/>
      <c r="AE2547" s="47"/>
      <c r="AF2547" s="47"/>
      <c r="AG2547" s="47"/>
      <c r="AH2547" s="47"/>
      <c r="AI2547" s="47"/>
      <c r="AJ2547" s="47"/>
      <c r="AK2547" s="47"/>
      <c r="AL2547" s="47"/>
      <c r="AM2547" s="47"/>
      <c r="AN2547" s="47"/>
      <c r="AO2547" s="47"/>
      <c r="AP2547" s="47"/>
      <c r="AQ2547" s="47"/>
      <c r="AR2547" s="47"/>
      <c r="AS2547" s="47"/>
      <c r="AT2547" s="47"/>
      <c r="AU2547" s="47"/>
      <c r="AV2547" s="47"/>
    </row>
    <row r="2548" spans="1:48" s="18" customFormat="1" ht="18" customHeight="1">
      <c r="A2548" s="50"/>
      <c r="B2548" s="97" t="s">
        <v>564</v>
      </c>
      <c r="C2548" s="29" t="s">
        <v>565</v>
      </c>
      <c r="D2548" s="52"/>
      <c r="E2548" s="52"/>
      <c r="F2548" s="52"/>
      <c r="G2548" s="52"/>
      <c r="H2548" s="52"/>
      <c r="I2548" s="52"/>
      <c r="J2548" s="52"/>
      <c r="K2548" s="52"/>
      <c r="L2548" s="40">
        <v>8</v>
      </c>
      <c r="M2548" s="40">
        <v>8</v>
      </c>
      <c r="N2548" s="40">
        <v>8</v>
      </c>
      <c r="O2548" s="40">
        <v>8</v>
      </c>
      <c r="P2548" s="40">
        <v>8</v>
      </c>
      <c r="Q2548" s="77"/>
      <c r="R2548" s="77"/>
      <c r="S2548" s="78"/>
      <c r="T2548" s="47"/>
      <c r="U2548" s="47"/>
      <c r="V2548" s="47"/>
      <c r="W2548" s="47"/>
      <c r="X2548" s="47"/>
      <c r="Y2548" s="47"/>
      <c r="Z2548" s="47"/>
      <c r="AA2548" s="47"/>
      <c r="AB2548" s="47"/>
      <c r="AC2548" s="47"/>
      <c r="AD2548" s="47"/>
      <c r="AE2548" s="47"/>
      <c r="AF2548" s="47"/>
      <c r="AG2548" s="47"/>
      <c r="AH2548" s="47"/>
      <c r="AI2548" s="47"/>
      <c r="AJ2548" s="47"/>
      <c r="AK2548" s="47"/>
      <c r="AL2548" s="47"/>
      <c r="AM2548" s="47"/>
      <c r="AN2548" s="47"/>
      <c r="AO2548" s="47"/>
      <c r="AP2548" s="47"/>
      <c r="AQ2548" s="47"/>
      <c r="AR2548" s="47"/>
      <c r="AS2548" s="47"/>
      <c r="AT2548" s="47"/>
      <c r="AU2548" s="47"/>
      <c r="AV2548" s="47"/>
    </row>
    <row r="2549" spans="1:48" s="18" customFormat="1" ht="18" customHeight="1">
      <c r="A2549" s="50"/>
      <c r="B2549" s="97" t="s">
        <v>411</v>
      </c>
      <c r="C2549" s="29" t="s">
        <v>412</v>
      </c>
      <c r="D2549" s="52"/>
      <c r="E2549" s="52"/>
      <c r="F2549" s="52"/>
      <c r="G2549" s="52"/>
      <c r="H2549" s="52"/>
      <c r="I2549" s="52"/>
      <c r="J2549" s="52"/>
      <c r="K2549" s="52"/>
      <c r="L2549" s="40">
        <v>5</v>
      </c>
      <c r="M2549" s="40">
        <v>5</v>
      </c>
      <c r="N2549" s="40">
        <v>5</v>
      </c>
      <c r="O2549" s="40">
        <v>5</v>
      </c>
      <c r="P2549" s="40">
        <v>5</v>
      </c>
      <c r="Q2549" s="77"/>
      <c r="R2549" s="77"/>
      <c r="S2549" s="78"/>
      <c r="T2549" s="47"/>
      <c r="U2549" s="47"/>
      <c r="V2549" s="47"/>
      <c r="W2549" s="47"/>
      <c r="X2549" s="47"/>
      <c r="Y2549" s="47"/>
      <c r="Z2549" s="47"/>
      <c r="AA2549" s="47"/>
      <c r="AB2549" s="47"/>
      <c r="AC2549" s="47"/>
      <c r="AD2549" s="47"/>
      <c r="AE2549" s="47"/>
      <c r="AF2549" s="47"/>
      <c r="AG2549" s="47"/>
      <c r="AH2549" s="47"/>
      <c r="AI2549" s="47"/>
      <c r="AJ2549" s="47"/>
      <c r="AK2549" s="47"/>
      <c r="AL2549" s="47"/>
      <c r="AM2549" s="47"/>
      <c r="AN2549" s="47"/>
      <c r="AO2549" s="47"/>
      <c r="AP2549" s="47"/>
      <c r="AQ2549" s="47"/>
      <c r="AR2549" s="47"/>
      <c r="AS2549" s="47"/>
      <c r="AT2549" s="47"/>
      <c r="AU2549" s="47"/>
      <c r="AV2549" s="47"/>
    </row>
    <row r="2550" spans="1:48" s="27" customFormat="1" ht="18" customHeight="1">
      <c r="A2550" s="12"/>
      <c r="B2550" s="93" t="s">
        <v>670</v>
      </c>
      <c r="C2550" s="29"/>
      <c r="D2550" s="51"/>
      <c r="E2550" s="51"/>
      <c r="F2550" s="51"/>
      <c r="G2550" s="51"/>
      <c r="H2550" s="51"/>
      <c r="I2550" s="51"/>
      <c r="J2550" s="51"/>
      <c r="K2550" s="51"/>
      <c r="L2550" s="60">
        <f>SUM(L2551:L2552)</f>
        <v>20</v>
      </c>
      <c r="M2550" s="60">
        <f>SUM(M2551:M2552)</f>
        <v>20</v>
      </c>
      <c r="N2550" s="60">
        <f>SUM(N2551:N2552)</f>
        <v>20</v>
      </c>
      <c r="O2550" s="60">
        <f>SUM(O2551:O2552)</f>
        <v>20</v>
      </c>
      <c r="P2550" s="60">
        <f>SUM(P2551:P2552)</f>
        <v>20</v>
      </c>
      <c r="Q2550" s="30"/>
      <c r="R2550" s="30"/>
      <c r="S2550" s="30"/>
      <c r="T2550" s="48"/>
      <c r="U2550" s="48"/>
      <c r="V2550" s="48"/>
      <c r="W2550" s="48"/>
      <c r="X2550" s="48"/>
      <c r="Y2550" s="48"/>
      <c r="Z2550" s="48"/>
      <c r="AA2550" s="48"/>
      <c r="AB2550" s="48"/>
      <c r="AC2550" s="48"/>
      <c r="AD2550" s="48"/>
      <c r="AE2550" s="48"/>
      <c r="AF2550" s="48"/>
      <c r="AG2550" s="48"/>
      <c r="AH2550" s="48"/>
      <c r="AI2550" s="48"/>
      <c r="AJ2550" s="48"/>
      <c r="AK2550" s="48"/>
      <c r="AL2550" s="48"/>
      <c r="AM2550" s="48"/>
      <c r="AN2550" s="48"/>
      <c r="AO2550" s="48"/>
      <c r="AP2550" s="48"/>
      <c r="AQ2550" s="48"/>
      <c r="AR2550" s="48"/>
      <c r="AS2550" s="48"/>
      <c r="AT2550" s="48"/>
      <c r="AU2550" s="48"/>
      <c r="AV2550" s="48"/>
    </row>
    <row r="2551" spans="1:48" s="18" customFormat="1" ht="18" customHeight="1">
      <c r="A2551" s="50"/>
      <c r="B2551" s="97" t="s">
        <v>299</v>
      </c>
      <c r="C2551" s="29" t="s">
        <v>300</v>
      </c>
      <c r="D2551" s="52"/>
      <c r="E2551" s="52"/>
      <c r="F2551" s="52"/>
      <c r="G2551" s="52"/>
      <c r="H2551" s="52"/>
      <c r="I2551" s="52"/>
      <c r="J2551" s="52"/>
      <c r="K2551" s="52"/>
      <c r="L2551" s="40">
        <v>10</v>
      </c>
      <c r="M2551" s="40">
        <v>10</v>
      </c>
      <c r="N2551" s="40">
        <v>10</v>
      </c>
      <c r="O2551" s="40">
        <v>10</v>
      </c>
      <c r="P2551" s="40">
        <v>10</v>
      </c>
      <c r="Q2551" s="77"/>
      <c r="R2551" s="77"/>
      <c r="S2551" s="78"/>
      <c r="T2551" s="47"/>
      <c r="U2551" s="47"/>
      <c r="V2551" s="47"/>
      <c r="W2551" s="47"/>
      <c r="X2551" s="47"/>
      <c r="Y2551" s="47"/>
      <c r="Z2551" s="47"/>
      <c r="AA2551" s="47"/>
      <c r="AB2551" s="47"/>
      <c r="AC2551" s="47"/>
      <c r="AD2551" s="47"/>
      <c r="AE2551" s="47"/>
      <c r="AF2551" s="47"/>
      <c r="AG2551" s="47"/>
      <c r="AH2551" s="47"/>
      <c r="AI2551" s="47"/>
      <c r="AJ2551" s="47"/>
      <c r="AK2551" s="47"/>
      <c r="AL2551" s="47"/>
      <c r="AM2551" s="47"/>
      <c r="AN2551" s="47"/>
      <c r="AO2551" s="47"/>
      <c r="AP2551" s="47"/>
      <c r="AQ2551" s="47"/>
      <c r="AR2551" s="47"/>
      <c r="AS2551" s="47"/>
      <c r="AT2551" s="47"/>
      <c r="AU2551" s="47"/>
      <c r="AV2551" s="47"/>
    </row>
    <row r="2552" spans="1:48" s="18" customFormat="1" ht="18" customHeight="1">
      <c r="A2552" s="50"/>
      <c r="B2552" s="97" t="s">
        <v>301</v>
      </c>
      <c r="C2552" s="15" t="s">
        <v>302</v>
      </c>
      <c r="D2552" s="52"/>
      <c r="E2552" s="52"/>
      <c r="F2552" s="52"/>
      <c r="G2552" s="52"/>
      <c r="H2552" s="52"/>
      <c r="I2552" s="52"/>
      <c r="J2552" s="52"/>
      <c r="K2552" s="52"/>
      <c r="L2552" s="40">
        <v>10</v>
      </c>
      <c r="M2552" s="40">
        <v>10</v>
      </c>
      <c r="N2552" s="40">
        <v>10</v>
      </c>
      <c r="O2552" s="40">
        <v>10</v>
      </c>
      <c r="P2552" s="40">
        <v>10</v>
      </c>
      <c r="Q2552" s="77"/>
      <c r="R2552" s="77"/>
      <c r="S2552" s="78"/>
      <c r="T2552" s="47"/>
      <c r="U2552" s="47"/>
      <c r="V2552" s="47"/>
      <c r="W2552" s="47"/>
      <c r="X2552" s="47"/>
      <c r="Y2552" s="47"/>
      <c r="Z2552" s="47"/>
      <c r="AA2552" s="47"/>
      <c r="AB2552" s="47"/>
      <c r="AC2552" s="47"/>
      <c r="AD2552" s="47"/>
      <c r="AE2552" s="47"/>
      <c r="AF2552" s="47"/>
      <c r="AG2552" s="47"/>
      <c r="AH2552" s="47"/>
      <c r="AI2552" s="47"/>
      <c r="AJ2552" s="47"/>
      <c r="AK2552" s="47"/>
      <c r="AL2552" s="47"/>
      <c r="AM2552" s="47"/>
      <c r="AN2552" s="47"/>
      <c r="AO2552" s="47"/>
      <c r="AP2552" s="47"/>
      <c r="AQ2552" s="47"/>
      <c r="AR2552" s="47"/>
      <c r="AS2552" s="47"/>
      <c r="AT2552" s="47"/>
      <c r="AU2552" s="47"/>
      <c r="AV2552" s="47"/>
    </row>
    <row r="2553" spans="1:19" ht="15" customHeight="1">
      <c r="A2553" s="399" t="s">
        <v>654</v>
      </c>
      <c r="B2553" s="399"/>
      <c r="C2553" s="399"/>
      <c r="D2553" s="399"/>
      <c r="E2553" s="399"/>
      <c r="F2553" s="399"/>
      <c r="G2553" s="399"/>
      <c r="H2553" s="399"/>
      <c r="I2553" s="399"/>
      <c r="J2553" s="399"/>
      <c r="K2553" s="399"/>
      <c r="L2553" s="399"/>
      <c r="M2553" s="399"/>
      <c r="N2553" s="399"/>
      <c r="O2553" s="399"/>
      <c r="P2553" s="399"/>
      <c r="Q2553" s="20"/>
      <c r="R2553" s="20"/>
      <c r="S2553" s="7"/>
    </row>
    <row r="2554" spans="1:19" ht="13.5" customHeight="1">
      <c r="A2554" s="400" t="s">
        <v>909</v>
      </c>
      <c r="B2554" s="400"/>
      <c r="C2554" s="400"/>
      <c r="D2554" s="400"/>
      <c r="E2554" s="400"/>
      <c r="F2554" s="400"/>
      <c r="G2554" s="400"/>
      <c r="H2554" s="400"/>
      <c r="I2554" s="400"/>
      <c r="J2554" s="400"/>
      <c r="K2554" s="400"/>
      <c r="L2554" s="400"/>
      <c r="M2554" s="400"/>
      <c r="N2554" s="400"/>
      <c r="O2554" s="400"/>
      <c r="P2554" s="400"/>
      <c r="Q2554" s="21"/>
      <c r="R2554" s="21"/>
      <c r="S2554" s="8"/>
    </row>
    <row r="2555" spans="1:188" s="57" customFormat="1" ht="15.75" customHeight="1">
      <c r="A2555" s="13">
        <v>13</v>
      </c>
      <c r="B2555" s="92" t="s">
        <v>462</v>
      </c>
      <c r="C2555" s="45"/>
      <c r="D2555" s="44">
        <v>30</v>
      </c>
      <c r="E2555" s="44">
        <v>5</v>
      </c>
      <c r="F2555" s="44">
        <v>23</v>
      </c>
      <c r="G2555" s="44">
        <v>30</v>
      </c>
      <c r="H2555" s="44">
        <v>30</v>
      </c>
      <c r="I2555" s="44">
        <v>31</v>
      </c>
      <c r="J2555" s="44">
        <v>31</v>
      </c>
      <c r="K2555" s="44">
        <v>31</v>
      </c>
      <c r="L2555" s="44" t="str">
        <f>L2556</f>
        <v> -</v>
      </c>
      <c r="M2555" s="44">
        <f>M2556</f>
        <v>1</v>
      </c>
      <c r="N2555" s="44">
        <f>N2556</f>
        <v>1</v>
      </c>
      <c r="O2555" s="44">
        <f>O2556</f>
        <v>1</v>
      </c>
      <c r="P2555" s="44">
        <f>P2556</f>
        <v>2</v>
      </c>
      <c r="Q2555" s="54" t="s">
        <v>649</v>
      </c>
      <c r="R2555" s="54">
        <v>3</v>
      </c>
      <c r="S2555" s="59" t="s">
        <v>1310</v>
      </c>
      <c r="T2555" s="56"/>
      <c r="U2555" s="56"/>
      <c r="V2555" s="56"/>
      <c r="W2555" s="56"/>
      <c r="X2555" s="56"/>
      <c r="Y2555" s="56"/>
      <c r="Z2555" s="56"/>
      <c r="AA2555" s="56"/>
      <c r="AB2555" s="56"/>
      <c r="AC2555" s="56"/>
      <c r="AD2555" s="56"/>
      <c r="AE2555" s="56"/>
      <c r="AF2555" s="56"/>
      <c r="AG2555" s="56"/>
      <c r="AH2555" s="56"/>
      <c r="AI2555" s="56"/>
      <c r="AJ2555" s="56"/>
      <c r="AK2555" s="56"/>
      <c r="AL2555" s="56"/>
      <c r="AM2555" s="56"/>
      <c r="AN2555" s="56"/>
      <c r="AO2555" s="56"/>
      <c r="AP2555" s="56"/>
      <c r="AQ2555" s="56"/>
      <c r="AR2555" s="56"/>
      <c r="AS2555" s="56"/>
      <c r="AT2555" s="56"/>
      <c r="AU2555" s="56"/>
      <c r="AV2555" s="56"/>
      <c r="AW2555" s="56"/>
      <c r="AX2555" s="56"/>
      <c r="AY2555" s="56"/>
      <c r="AZ2555" s="56"/>
      <c r="BA2555" s="56"/>
      <c r="BB2555" s="56"/>
      <c r="BC2555" s="56"/>
      <c r="BD2555" s="56"/>
      <c r="BE2555" s="56"/>
      <c r="BF2555" s="56"/>
      <c r="BG2555" s="56"/>
      <c r="BH2555" s="56"/>
      <c r="BI2555" s="56"/>
      <c r="BJ2555" s="56"/>
      <c r="BK2555" s="56"/>
      <c r="BL2555" s="56"/>
      <c r="BM2555" s="56"/>
      <c r="BN2555" s="56"/>
      <c r="BO2555" s="56"/>
      <c r="BP2555" s="56"/>
      <c r="BQ2555" s="56"/>
      <c r="BR2555" s="56"/>
      <c r="BS2555" s="56"/>
      <c r="BT2555" s="56"/>
      <c r="BU2555" s="56"/>
      <c r="BV2555" s="56"/>
      <c r="BW2555" s="56"/>
      <c r="BX2555" s="56"/>
      <c r="BY2555" s="56"/>
      <c r="BZ2555" s="56"/>
      <c r="CA2555" s="56"/>
      <c r="CB2555" s="56"/>
      <c r="CC2555" s="56"/>
      <c r="CD2555" s="56"/>
      <c r="CE2555" s="56"/>
      <c r="CF2555" s="56"/>
      <c r="CG2555" s="56"/>
      <c r="CH2555" s="56"/>
      <c r="CI2555" s="56"/>
      <c r="CJ2555" s="56"/>
      <c r="CK2555" s="56"/>
      <c r="CL2555" s="56"/>
      <c r="CM2555" s="56"/>
      <c r="CN2555" s="56"/>
      <c r="CO2555" s="56"/>
      <c r="CP2555" s="56"/>
      <c r="CQ2555" s="56"/>
      <c r="CR2555" s="56"/>
      <c r="CS2555" s="56"/>
      <c r="CT2555" s="56"/>
      <c r="CU2555" s="56"/>
      <c r="CV2555" s="56"/>
      <c r="CW2555" s="56"/>
      <c r="CX2555" s="56"/>
      <c r="CY2555" s="56"/>
      <c r="CZ2555" s="56"/>
      <c r="DA2555" s="56"/>
      <c r="DB2555" s="56"/>
      <c r="DC2555" s="56"/>
      <c r="DD2555" s="56"/>
      <c r="DE2555" s="56"/>
      <c r="DF2555" s="56"/>
      <c r="DG2555" s="56"/>
      <c r="DH2555" s="56"/>
      <c r="DI2555" s="56"/>
      <c r="DJ2555" s="56"/>
      <c r="DK2555" s="56"/>
      <c r="DL2555" s="56"/>
      <c r="DM2555" s="56"/>
      <c r="DN2555" s="56"/>
      <c r="DO2555" s="56"/>
      <c r="DP2555" s="56"/>
      <c r="DQ2555" s="56"/>
      <c r="DR2555" s="56"/>
      <c r="DS2555" s="56"/>
      <c r="DT2555" s="56"/>
      <c r="DU2555" s="56"/>
      <c r="DV2555" s="56"/>
      <c r="DW2555" s="56"/>
      <c r="DX2555" s="56"/>
      <c r="DY2555" s="56"/>
      <c r="DZ2555" s="56"/>
      <c r="EA2555" s="56"/>
      <c r="EB2555" s="56"/>
      <c r="EC2555" s="56"/>
      <c r="ED2555" s="56"/>
      <c r="EE2555" s="56"/>
      <c r="EF2555" s="56"/>
      <c r="EG2555" s="56"/>
      <c r="EH2555" s="56"/>
      <c r="EI2555" s="56"/>
      <c r="EJ2555" s="56"/>
      <c r="EK2555" s="56"/>
      <c r="EL2555" s="56"/>
      <c r="EM2555" s="56"/>
      <c r="EN2555" s="56"/>
      <c r="EO2555" s="56"/>
      <c r="EP2555" s="56"/>
      <c r="EQ2555" s="56"/>
      <c r="ER2555" s="56"/>
      <c r="ES2555" s="56"/>
      <c r="ET2555" s="56"/>
      <c r="EU2555" s="56"/>
      <c r="EV2555" s="56"/>
      <c r="EW2555" s="56"/>
      <c r="EX2555" s="56"/>
      <c r="EY2555" s="56"/>
      <c r="EZ2555" s="56"/>
      <c r="FA2555" s="56"/>
      <c r="FB2555" s="56"/>
      <c r="FC2555" s="56"/>
      <c r="FD2555" s="56"/>
      <c r="FE2555" s="56"/>
      <c r="FF2555" s="56"/>
      <c r="FG2555" s="56"/>
      <c r="FH2555" s="56"/>
      <c r="FI2555" s="56"/>
      <c r="FJ2555" s="56"/>
      <c r="FK2555" s="56"/>
      <c r="FL2555" s="56"/>
      <c r="FM2555" s="56"/>
      <c r="FN2555" s="56"/>
      <c r="FO2555" s="56"/>
      <c r="FP2555" s="56"/>
      <c r="FQ2555" s="56"/>
      <c r="FR2555" s="56"/>
      <c r="FS2555" s="56"/>
      <c r="FT2555" s="56"/>
      <c r="FU2555" s="56"/>
      <c r="FV2555" s="56"/>
      <c r="FW2555" s="56"/>
      <c r="FX2555" s="56"/>
      <c r="FY2555" s="56"/>
      <c r="FZ2555" s="56"/>
      <c r="GA2555" s="56"/>
      <c r="GB2555" s="56"/>
      <c r="GC2555" s="56"/>
      <c r="GD2555" s="56"/>
      <c r="GE2555" s="56"/>
      <c r="GF2555" s="56"/>
    </row>
    <row r="2556" spans="1:57" s="43" customFormat="1" ht="15.75">
      <c r="A2556" s="13"/>
      <c r="B2556" s="93" t="s">
        <v>669</v>
      </c>
      <c r="C2556" s="15"/>
      <c r="D2556" s="40"/>
      <c r="E2556" s="40"/>
      <c r="F2556" s="40"/>
      <c r="G2556" s="40"/>
      <c r="H2556" s="40"/>
      <c r="I2556" s="40"/>
      <c r="J2556" s="40"/>
      <c r="K2556" s="40"/>
      <c r="L2556" s="60" t="s">
        <v>556</v>
      </c>
      <c r="M2556" s="60">
        <f>SUM(M2557:M2559)</f>
        <v>1</v>
      </c>
      <c r="N2556" s="60">
        <f>SUM(N2557:N2559)</f>
        <v>1</v>
      </c>
      <c r="O2556" s="60">
        <f>SUM(O2557:O2559)</f>
        <v>1</v>
      </c>
      <c r="P2556" s="60">
        <f>SUM(P2557:P2559)</f>
        <v>2</v>
      </c>
      <c r="Q2556" s="70"/>
      <c r="R2556" s="41"/>
      <c r="S2556" s="41"/>
      <c r="T2556" s="46"/>
      <c r="U2556" s="46"/>
      <c r="V2556" s="46"/>
      <c r="W2556" s="46"/>
      <c r="X2556" s="46"/>
      <c r="Y2556" s="46"/>
      <c r="Z2556" s="46"/>
      <c r="AA2556" s="46"/>
      <c r="AB2556" s="46"/>
      <c r="AC2556" s="46"/>
      <c r="AD2556" s="46"/>
      <c r="AE2556" s="46"/>
      <c r="AF2556" s="46"/>
      <c r="AG2556" s="46"/>
      <c r="AH2556" s="46"/>
      <c r="AI2556" s="46"/>
      <c r="AJ2556" s="46"/>
      <c r="AK2556" s="46"/>
      <c r="AL2556" s="46"/>
      <c r="AM2556" s="46"/>
      <c r="AN2556" s="46"/>
      <c r="AO2556" s="46"/>
      <c r="AP2556" s="46"/>
      <c r="AQ2556" s="46"/>
      <c r="AR2556" s="46"/>
      <c r="AS2556" s="46"/>
      <c r="AT2556" s="46"/>
      <c r="AU2556" s="46"/>
      <c r="AV2556" s="46"/>
      <c r="BA2556" s="49"/>
      <c r="BB2556" s="42"/>
      <c r="BC2556" s="42"/>
      <c r="BD2556" s="42"/>
      <c r="BE2556" s="42"/>
    </row>
    <row r="2557" spans="1:57" s="43" customFormat="1" ht="16.5" customHeight="1">
      <c r="A2557" s="13"/>
      <c r="B2557" s="97" t="s">
        <v>568</v>
      </c>
      <c r="C2557" s="29" t="s">
        <v>569</v>
      </c>
      <c r="D2557" s="40"/>
      <c r="E2557" s="40"/>
      <c r="F2557" s="40"/>
      <c r="G2557" s="40">
        <v>17</v>
      </c>
      <c r="H2557" s="40">
        <v>17</v>
      </c>
      <c r="I2557" s="40">
        <v>18</v>
      </c>
      <c r="J2557" s="40">
        <v>18</v>
      </c>
      <c r="K2557" s="40">
        <v>18</v>
      </c>
      <c r="L2557" s="40" t="s">
        <v>556</v>
      </c>
      <c r="M2557" s="40">
        <v>1</v>
      </c>
      <c r="N2557" s="40" t="s">
        <v>556</v>
      </c>
      <c r="O2557" s="40">
        <v>1</v>
      </c>
      <c r="P2557" s="40">
        <v>1</v>
      </c>
      <c r="Q2557" s="70"/>
      <c r="R2557" s="41"/>
      <c r="S2557" s="41"/>
      <c r="T2557" s="46"/>
      <c r="U2557" s="46"/>
      <c r="V2557" s="46"/>
      <c r="W2557" s="46"/>
      <c r="X2557" s="46"/>
      <c r="Y2557" s="46"/>
      <c r="Z2557" s="46"/>
      <c r="AA2557" s="46"/>
      <c r="AB2557" s="46"/>
      <c r="AC2557" s="46"/>
      <c r="AD2557" s="46"/>
      <c r="AE2557" s="46"/>
      <c r="AF2557" s="46"/>
      <c r="AG2557" s="46"/>
      <c r="AH2557" s="46"/>
      <c r="AI2557" s="46"/>
      <c r="AJ2557" s="46"/>
      <c r="AK2557" s="46"/>
      <c r="AL2557" s="46"/>
      <c r="AM2557" s="46"/>
      <c r="AN2557" s="46"/>
      <c r="AO2557" s="46"/>
      <c r="AP2557" s="46"/>
      <c r="AQ2557" s="46"/>
      <c r="AR2557" s="46"/>
      <c r="AS2557" s="46"/>
      <c r="AT2557" s="46"/>
      <c r="AU2557" s="46"/>
      <c r="AV2557" s="46"/>
      <c r="BA2557" s="49"/>
      <c r="BB2557" s="42"/>
      <c r="BC2557" s="42"/>
      <c r="BD2557" s="42"/>
      <c r="BE2557" s="42"/>
    </row>
    <row r="2558" spans="1:48" s="43" customFormat="1" ht="16.5" customHeight="1">
      <c r="A2558" s="13"/>
      <c r="B2558" s="97" t="s">
        <v>448</v>
      </c>
      <c r="C2558" s="29" t="s">
        <v>449</v>
      </c>
      <c r="D2558" s="40"/>
      <c r="E2558" s="40"/>
      <c r="F2558" s="40"/>
      <c r="G2558" s="40">
        <v>1</v>
      </c>
      <c r="H2558" s="40">
        <v>1</v>
      </c>
      <c r="I2558" s="40">
        <v>1</v>
      </c>
      <c r="J2558" s="40">
        <v>1</v>
      </c>
      <c r="K2558" s="40">
        <v>1</v>
      </c>
      <c r="L2558" s="40" t="s">
        <v>556</v>
      </c>
      <c r="M2558" s="40" t="s">
        <v>556</v>
      </c>
      <c r="N2558" s="40">
        <v>1</v>
      </c>
      <c r="O2558" s="40" t="s">
        <v>556</v>
      </c>
      <c r="P2558" s="40" t="s">
        <v>556</v>
      </c>
      <c r="Q2558" s="69"/>
      <c r="R2558" s="69"/>
      <c r="S2558" s="69"/>
      <c r="T2558" s="46"/>
      <c r="U2558" s="46"/>
      <c r="V2558" s="46"/>
      <c r="W2558" s="46"/>
      <c r="X2558" s="46"/>
      <c r="Y2558" s="46"/>
      <c r="Z2558" s="46"/>
      <c r="AA2558" s="46"/>
      <c r="AB2558" s="46"/>
      <c r="AC2558" s="46"/>
      <c r="AD2558" s="46"/>
      <c r="AE2558" s="46"/>
      <c r="AF2558" s="46"/>
      <c r="AG2558" s="46"/>
      <c r="AH2558" s="46"/>
      <c r="AI2558" s="46"/>
      <c r="AJ2558" s="46"/>
      <c r="AK2558" s="46"/>
      <c r="AL2558" s="46"/>
      <c r="AM2558" s="46"/>
      <c r="AN2558" s="46"/>
      <c r="AO2558" s="46"/>
      <c r="AP2558" s="46"/>
      <c r="AQ2558" s="46"/>
      <c r="AR2558" s="46"/>
      <c r="AS2558" s="46"/>
      <c r="AT2558" s="46"/>
      <c r="AU2558" s="46"/>
      <c r="AV2558" s="46"/>
    </row>
    <row r="2559" spans="1:48" s="43" customFormat="1" ht="18" customHeight="1">
      <c r="A2559" s="13"/>
      <c r="B2559" s="97" t="s">
        <v>1320</v>
      </c>
      <c r="C2559" s="29" t="s">
        <v>1322</v>
      </c>
      <c r="D2559" s="40"/>
      <c r="E2559" s="40"/>
      <c r="F2559" s="40"/>
      <c r="G2559" s="40">
        <v>1</v>
      </c>
      <c r="H2559" s="40">
        <v>1</v>
      </c>
      <c r="I2559" s="40">
        <v>1</v>
      </c>
      <c r="J2559" s="40">
        <v>1</v>
      </c>
      <c r="K2559" s="40">
        <v>1</v>
      </c>
      <c r="L2559" s="40" t="s">
        <v>556</v>
      </c>
      <c r="M2559" s="40" t="s">
        <v>556</v>
      </c>
      <c r="N2559" s="40" t="s">
        <v>556</v>
      </c>
      <c r="O2559" s="40" t="s">
        <v>556</v>
      </c>
      <c r="P2559" s="40">
        <v>1</v>
      </c>
      <c r="Q2559" s="69"/>
      <c r="R2559" s="69"/>
      <c r="S2559" s="69"/>
      <c r="T2559" s="46"/>
      <c r="U2559" s="46"/>
      <c r="V2559" s="46"/>
      <c r="W2559" s="46"/>
      <c r="X2559" s="46"/>
      <c r="Y2559" s="46"/>
      <c r="Z2559" s="46"/>
      <c r="AA2559" s="46"/>
      <c r="AB2559" s="46"/>
      <c r="AC2559" s="46"/>
      <c r="AD2559" s="46"/>
      <c r="AE2559" s="46"/>
      <c r="AF2559" s="46"/>
      <c r="AG2559" s="46"/>
      <c r="AH2559" s="46"/>
      <c r="AI2559" s="46"/>
      <c r="AJ2559" s="46"/>
      <c r="AK2559" s="46"/>
      <c r="AL2559" s="46"/>
      <c r="AM2559" s="46"/>
      <c r="AN2559" s="46"/>
      <c r="AO2559" s="46"/>
      <c r="AP2559" s="46"/>
      <c r="AQ2559" s="46"/>
      <c r="AR2559" s="46"/>
      <c r="AS2559" s="46"/>
      <c r="AT2559" s="46"/>
      <c r="AU2559" s="46"/>
      <c r="AV2559" s="46"/>
    </row>
    <row r="2560" spans="1:19" ht="41.25" customHeight="1">
      <c r="A2560" s="332" t="s">
        <v>13</v>
      </c>
      <c r="B2560" s="332"/>
      <c r="C2560" s="332"/>
      <c r="D2560" s="332"/>
      <c r="E2560" s="332"/>
      <c r="F2560" s="332"/>
      <c r="G2560" s="332"/>
      <c r="H2560" s="332"/>
      <c r="I2560" s="332"/>
      <c r="J2560" s="332"/>
      <c r="K2560" s="332"/>
      <c r="L2560" s="332"/>
      <c r="M2560" s="332"/>
      <c r="N2560" s="332"/>
      <c r="O2560" s="332"/>
      <c r="P2560" s="332"/>
      <c r="Q2560" s="20"/>
      <c r="R2560" s="20"/>
      <c r="S2560" s="7"/>
    </row>
    <row r="2561" spans="1:188" s="57" customFormat="1" ht="18" customHeight="1">
      <c r="A2561" s="13">
        <v>1</v>
      </c>
      <c r="B2561" s="92" t="s">
        <v>378</v>
      </c>
      <c r="C2561" s="45"/>
      <c r="D2561" s="44"/>
      <c r="E2561" s="44"/>
      <c r="F2561" s="44"/>
      <c r="G2561" s="44"/>
      <c r="H2561" s="44"/>
      <c r="I2561" s="44"/>
      <c r="J2561" s="44"/>
      <c r="K2561" s="44"/>
      <c r="L2561" s="44">
        <f>L2562+L2566</f>
        <v>239</v>
      </c>
      <c r="M2561" s="44">
        <f>M2562+M2566</f>
        <v>256</v>
      </c>
      <c r="N2561" s="44">
        <f>N2562+N2566</f>
        <v>246</v>
      </c>
      <c r="O2561" s="44">
        <f>O2562+O2566</f>
        <v>260</v>
      </c>
      <c r="P2561" s="44">
        <f>P2562+P2566</f>
        <v>260</v>
      </c>
      <c r="Q2561" s="54" t="s">
        <v>648</v>
      </c>
      <c r="R2561" s="54">
        <v>1</v>
      </c>
      <c r="S2561" s="55" t="s">
        <v>941</v>
      </c>
      <c r="T2561" s="56"/>
      <c r="U2561" s="56"/>
      <c r="V2561" s="56"/>
      <c r="W2561" s="56"/>
      <c r="X2561" s="56"/>
      <c r="Y2561" s="56"/>
      <c r="Z2561" s="56"/>
      <c r="AA2561" s="56"/>
      <c r="AB2561" s="56"/>
      <c r="AC2561" s="56"/>
      <c r="AD2561" s="56"/>
      <c r="AE2561" s="56"/>
      <c r="AF2561" s="56"/>
      <c r="AG2561" s="56"/>
      <c r="AH2561" s="56"/>
      <c r="AI2561" s="56"/>
      <c r="AJ2561" s="56"/>
      <c r="AK2561" s="56"/>
      <c r="AL2561" s="56"/>
      <c r="AM2561" s="56"/>
      <c r="AN2561" s="56"/>
      <c r="AO2561" s="56"/>
      <c r="AP2561" s="56"/>
      <c r="AQ2561" s="56"/>
      <c r="AR2561" s="56"/>
      <c r="AS2561" s="56"/>
      <c r="AT2561" s="56"/>
      <c r="AU2561" s="56"/>
      <c r="AV2561" s="56"/>
      <c r="AW2561" s="56"/>
      <c r="AX2561" s="56"/>
      <c r="AY2561" s="56"/>
      <c r="AZ2561" s="56"/>
      <c r="BA2561" s="56"/>
      <c r="BB2561" s="56"/>
      <c r="BC2561" s="56"/>
      <c r="BD2561" s="56"/>
      <c r="BE2561" s="56"/>
      <c r="BF2561" s="56"/>
      <c r="BG2561" s="56"/>
      <c r="BH2561" s="56"/>
      <c r="BI2561" s="56"/>
      <c r="BJ2561" s="56"/>
      <c r="BK2561" s="56"/>
      <c r="BL2561" s="56"/>
      <c r="BM2561" s="56"/>
      <c r="BN2561" s="56"/>
      <c r="BO2561" s="56"/>
      <c r="BP2561" s="56"/>
      <c r="BQ2561" s="56"/>
      <c r="BR2561" s="56"/>
      <c r="BS2561" s="56"/>
      <c r="BT2561" s="56"/>
      <c r="BU2561" s="56"/>
      <c r="BV2561" s="56"/>
      <c r="BW2561" s="56"/>
      <c r="BX2561" s="56"/>
      <c r="BY2561" s="56"/>
      <c r="BZ2561" s="56"/>
      <c r="CA2561" s="56"/>
      <c r="CB2561" s="56"/>
      <c r="CC2561" s="56"/>
      <c r="CD2561" s="56"/>
      <c r="CE2561" s="56"/>
      <c r="CF2561" s="56"/>
      <c r="CG2561" s="56"/>
      <c r="CH2561" s="56"/>
      <c r="CI2561" s="56"/>
      <c r="CJ2561" s="56"/>
      <c r="CK2561" s="56"/>
      <c r="CL2561" s="56"/>
      <c r="CM2561" s="56"/>
      <c r="CN2561" s="56"/>
      <c r="CO2561" s="56"/>
      <c r="CP2561" s="56"/>
      <c r="CQ2561" s="56"/>
      <c r="CR2561" s="56"/>
      <c r="CS2561" s="56"/>
      <c r="CT2561" s="56"/>
      <c r="CU2561" s="56"/>
      <c r="CV2561" s="56"/>
      <c r="CW2561" s="56"/>
      <c r="CX2561" s="56"/>
      <c r="CY2561" s="56"/>
      <c r="CZ2561" s="56"/>
      <c r="DA2561" s="56"/>
      <c r="DB2561" s="56"/>
      <c r="DC2561" s="56"/>
      <c r="DD2561" s="56"/>
      <c r="DE2561" s="56"/>
      <c r="DF2561" s="56"/>
      <c r="DG2561" s="56"/>
      <c r="DH2561" s="56"/>
      <c r="DI2561" s="56"/>
      <c r="DJ2561" s="56"/>
      <c r="DK2561" s="56"/>
      <c r="DL2561" s="56"/>
      <c r="DM2561" s="56"/>
      <c r="DN2561" s="56"/>
      <c r="DO2561" s="56"/>
      <c r="DP2561" s="56"/>
      <c r="DQ2561" s="56"/>
      <c r="DR2561" s="56"/>
      <c r="DS2561" s="56"/>
      <c r="DT2561" s="56"/>
      <c r="DU2561" s="56"/>
      <c r="DV2561" s="56"/>
      <c r="DW2561" s="56"/>
      <c r="DX2561" s="56"/>
      <c r="DY2561" s="56"/>
      <c r="DZ2561" s="56"/>
      <c r="EA2561" s="56"/>
      <c r="EB2561" s="56"/>
      <c r="EC2561" s="56"/>
      <c r="ED2561" s="56"/>
      <c r="EE2561" s="56"/>
      <c r="EF2561" s="56"/>
      <c r="EG2561" s="56"/>
      <c r="EH2561" s="56"/>
      <c r="EI2561" s="56"/>
      <c r="EJ2561" s="56"/>
      <c r="EK2561" s="56"/>
      <c r="EL2561" s="56"/>
      <c r="EM2561" s="56"/>
      <c r="EN2561" s="56"/>
      <c r="EO2561" s="56"/>
      <c r="EP2561" s="56"/>
      <c r="EQ2561" s="56"/>
      <c r="ER2561" s="56"/>
      <c r="ES2561" s="56"/>
      <c r="ET2561" s="56"/>
      <c r="EU2561" s="56"/>
      <c r="EV2561" s="56"/>
      <c r="EW2561" s="56"/>
      <c r="EX2561" s="56"/>
      <c r="EY2561" s="56"/>
      <c r="EZ2561" s="56"/>
      <c r="FA2561" s="56"/>
      <c r="FB2561" s="56"/>
      <c r="FC2561" s="56"/>
      <c r="FD2561" s="56"/>
      <c r="FE2561" s="56"/>
      <c r="FF2561" s="56"/>
      <c r="FG2561" s="56"/>
      <c r="FH2561" s="56"/>
      <c r="FI2561" s="56"/>
      <c r="FJ2561" s="56"/>
      <c r="FK2561" s="56"/>
      <c r="FL2561" s="56"/>
      <c r="FM2561" s="56"/>
      <c r="FN2561" s="56"/>
      <c r="FO2561" s="56"/>
      <c r="FP2561" s="56"/>
      <c r="FQ2561" s="56"/>
      <c r="FR2561" s="56"/>
      <c r="FS2561" s="56"/>
      <c r="FT2561" s="56"/>
      <c r="FU2561" s="56"/>
      <c r="FV2561" s="56"/>
      <c r="FW2561" s="56"/>
      <c r="FX2561" s="56"/>
      <c r="FY2561" s="56"/>
      <c r="FZ2561" s="56"/>
      <c r="GA2561" s="56"/>
      <c r="GB2561" s="56"/>
      <c r="GC2561" s="56"/>
      <c r="GD2561" s="56"/>
      <c r="GE2561" s="56"/>
      <c r="GF2561" s="56"/>
    </row>
    <row r="2562" spans="1:57" s="43" customFormat="1" ht="15.75">
      <c r="A2562" s="13"/>
      <c r="B2562" s="104" t="s">
        <v>669</v>
      </c>
      <c r="C2562" s="15"/>
      <c r="D2562" s="40"/>
      <c r="E2562" s="40"/>
      <c r="F2562" s="40"/>
      <c r="G2562" s="40"/>
      <c r="H2562" s="40"/>
      <c r="I2562" s="40"/>
      <c r="J2562" s="40"/>
      <c r="K2562" s="40"/>
      <c r="L2562" s="60">
        <f>SUM(L2563:L2565)</f>
        <v>174</v>
      </c>
      <c r="M2562" s="60">
        <f>SUM(M2563:M2565)</f>
        <v>192</v>
      </c>
      <c r="N2562" s="60">
        <f>SUM(N2563:N2565)</f>
        <v>183</v>
      </c>
      <c r="O2562" s="60">
        <f>SUM(O2563:O2565)</f>
        <v>199</v>
      </c>
      <c r="P2562" s="60">
        <f>SUM(P2563:P2565)</f>
        <v>199</v>
      </c>
      <c r="Q2562" s="70"/>
      <c r="R2562" s="41"/>
      <c r="S2562" s="41"/>
      <c r="T2562" s="46"/>
      <c r="U2562" s="46"/>
      <c r="V2562" s="46"/>
      <c r="W2562" s="46"/>
      <c r="X2562" s="46"/>
      <c r="Y2562" s="46"/>
      <c r="Z2562" s="46"/>
      <c r="AA2562" s="46"/>
      <c r="AB2562" s="46"/>
      <c r="AC2562" s="46"/>
      <c r="AD2562" s="46"/>
      <c r="AE2562" s="46"/>
      <c r="AF2562" s="46"/>
      <c r="AG2562" s="46"/>
      <c r="AH2562" s="46"/>
      <c r="AI2562" s="46"/>
      <c r="AJ2562" s="46"/>
      <c r="AK2562" s="46"/>
      <c r="AL2562" s="46"/>
      <c r="AM2562" s="46"/>
      <c r="AN2562" s="46"/>
      <c r="AO2562" s="46"/>
      <c r="AP2562" s="46"/>
      <c r="AQ2562" s="46"/>
      <c r="AR2562" s="46"/>
      <c r="AS2562" s="46"/>
      <c r="AT2562" s="46"/>
      <c r="AU2562" s="46"/>
      <c r="AV2562" s="46"/>
      <c r="BA2562" s="49"/>
      <c r="BB2562" s="42"/>
      <c r="BC2562" s="42"/>
      <c r="BD2562" s="42"/>
      <c r="BE2562" s="42"/>
    </row>
    <row r="2563" spans="1:57" s="43" customFormat="1" ht="17.25" customHeight="1">
      <c r="A2563" s="13"/>
      <c r="B2563" s="105" t="s">
        <v>140</v>
      </c>
      <c r="C2563" s="15" t="s">
        <v>141</v>
      </c>
      <c r="D2563" s="40"/>
      <c r="E2563" s="40"/>
      <c r="F2563" s="40"/>
      <c r="G2563" s="40"/>
      <c r="H2563" s="40"/>
      <c r="I2563" s="40"/>
      <c r="J2563" s="40"/>
      <c r="K2563" s="40"/>
      <c r="L2563" s="40">
        <v>30</v>
      </c>
      <c r="M2563" s="40">
        <v>38</v>
      </c>
      <c r="N2563" s="40">
        <v>27</v>
      </c>
      <c r="O2563" s="40">
        <v>26</v>
      </c>
      <c r="P2563" s="40">
        <v>26</v>
      </c>
      <c r="Q2563" s="70"/>
      <c r="R2563" s="41"/>
      <c r="S2563" s="41"/>
      <c r="T2563" s="46"/>
      <c r="U2563" s="46"/>
      <c r="V2563" s="46"/>
      <c r="W2563" s="46"/>
      <c r="X2563" s="46"/>
      <c r="Y2563" s="46"/>
      <c r="Z2563" s="46"/>
      <c r="AA2563" s="46"/>
      <c r="AB2563" s="46"/>
      <c r="AC2563" s="46"/>
      <c r="AD2563" s="46"/>
      <c r="AE2563" s="46"/>
      <c r="AF2563" s="46"/>
      <c r="AG2563" s="46"/>
      <c r="AH2563" s="46"/>
      <c r="AI2563" s="46"/>
      <c r="AJ2563" s="46"/>
      <c r="AK2563" s="46"/>
      <c r="AL2563" s="46"/>
      <c r="AM2563" s="46"/>
      <c r="AN2563" s="46"/>
      <c r="AO2563" s="46"/>
      <c r="AP2563" s="46"/>
      <c r="AQ2563" s="46"/>
      <c r="AR2563" s="46"/>
      <c r="AS2563" s="46"/>
      <c r="AT2563" s="46"/>
      <c r="AU2563" s="46"/>
      <c r="AV2563" s="46"/>
      <c r="BA2563" s="49"/>
      <c r="BB2563" s="42"/>
      <c r="BC2563" s="42"/>
      <c r="BD2563" s="42"/>
      <c r="BE2563" s="42"/>
    </row>
    <row r="2564" spans="1:48" s="43" customFormat="1" ht="17.25" customHeight="1">
      <c r="A2564" s="13"/>
      <c r="B2564" s="105" t="s">
        <v>70</v>
      </c>
      <c r="C2564" s="15" t="s">
        <v>69</v>
      </c>
      <c r="D2564" s="40"/>
      <c r="E2564" s="40"/>
      <c r="F2564" s="40"/>
      <c r="G2564" s="40"/>
      <c r="H2564" s="40"/>
      <c r="I2564" s="40"/>
      <c r="J2564" s="40"/>
      <c r="K2564" s="40"/>
      <c r="L2564" s="40">
        <v>57</v>
      </c>
      <c r="M2564" s="40">
        <v>59</v>
      </c>
      <c r="N2564" s="40">
        <v>57</v>
      </c>
      <c r="O2564" s="40">
        <v>63</v>
      </c>
      <c r="P2564" s="40">
        <v>63</v>
      </c>
      <c r="Q2564" s="70"/>
      <c r="R2564" s="70"/>
      <c r="S2564" s="70"/>
      <c r="T2564" s="46"/>
      <c r="U2564" s="46"/>
      <c r="V2564" s="46"/>
      <c r="W2564" s="46"/>
      <c r="X2564" s="46"/>
      <c r="Y2564" s="46"/>
      <c r="Z2564" s="46"/>
      <c r="AA2564" s="46"/>
      <c r="AB2564" s="46"/>
      <c r="AC2564" s="46"/>
      <c r="AD2564" s="46"/>
      <c r="AE2564" s="46"/>
      <c r="AF2564" s="46"/>
      <c r="AG2564" s="46"/>
      <c r="AH2564" s="46"/>
      <c r="AI2564" s="46"/>
      <c r="AJ2564" s="46"/>
      <c r="AK2564" s="46"/>
      <c r="AL2564" s="46"/>
      <c r="AM2564" s="46"/>
      <c r="AN2564" s="46"/>
      <c r="AO2564" s="46"/>
      <c r="AP2564" s="46"/>
      <c r="AQ2564" s="46"/>
      <c r="AR2564" s="46"/>
      <c r="AS2564" s="46"/>
      <c r="AT2564" s="46"/>
      <c r="AU2564" s="46"/>
      <c r="AV2564" s="46"/>
    </row>
    <row r="2565" spans="1:48" s="43" customFormat="1" ht="17.25" customHeight="1">
      <c r="A2565" s="13"/>
      <c r="B2565" s="105" t="s">
        <v>1030</v>
      </c>
      <c r="C2565" s="15" t="s">
        <v>1031</v>
      </c>
      <c r="D2565" s="40"/>
      <c r="E2565" s="40"/>
      <c r="F2565" s="40"/>
      <c r="G2565" s="40"/>
      <c r="H2565" s="40"/>
      <c r="I2565" s="40"/>
      <c r="J2565" s="40"/>
      <c r="K2565" s="40"/>
      <c r="L2565" s="40">
        <v>87</v>
      </c>
      <c r="M2565" s="40">
        <v>95</v>
      </c>
      <c r="N2565" s="40">
        <v>99</v>
      </c>
      <c r="O2565" s="40">
        <v>110</v>
      </c>
      <c r="P2565" s="40">
        <v>110</v>
      </c>
      <c r="Q2565" s="70"/>
      <c r="R2565" s="70"/>
      <c r="S2565" s="70"/>
      <c r="T2565" s="46"/>
      <c r="U2565" s="46"/>
      <c r="V2565" s="46"/>
      <c r="W2565" s="46"/>
      <c r="X2565" s="46"/>
      <c r="Y2565" s="46"/>
      <c r="Z2565" s="46"/>
      <c r="AA2565" s="46"/>
      <c r="AB2565" s="46"/>
      <c r="AC2565" s="46"/>
      <c r="AD2565" s="46"/>
      <c r="AE2565" s="46"/>
      <c r="AF2565" s="46"/>
      <c r="AG2565" s="46"/>
      <c r="AH2565" s="46"/>
      <c r="AI2565" s="46"/>
      <c r="AJ2565" s="46"/>
      <c r="AK2565" s="46"/>
      <c r="AL2565" s="46"/>
      <c r="AM2565" s="46"/>
      <c r="AN2565" s="46"/>
      <c r="AO2565" s="46"/>
      <c r="AP2565" s="46"/>
      <c r="AQ2565" s="46"/>
      <c r="AR2565" s="46"/>
      <c r="AS2565" s="46"/>
      <c r="AT2565" s="46"/>
      <c r="AU2565" s="46"/>
      <c r="AV2565" s="46"/>
    </row>
    <row r="2566" spans="1:48" s="18" customFormat="1" ht="16.5" customHeight="1">
      <c r="A2566" s="50"/>
      <c r="B2566" s="93" t="s">
        <v>670</v>
      </c>
      <c r="C2566" s="16"/>
      <c r="D2566" s="52"/>
      <c r="E2566" s="52"/>
      <c r="F2566" s="52"/>
      <c r="G2566" s="52"/>
      <c r="H2566" s="52"/>
      <c r="I2566" s="52"/>
      <c r="J2566" s="52"/>
      <c r="K2566" s="52"/>
      <c r="L2566" s="60">
        <f>SUM(L2567:L2569)</f>
        <v>65</v>
      </c>
      <c r="M2566" s="60">
        <f>SUM(M2567:M2569)</f>
        <v>64</v>
      </c>
      <c r="N2566" s="60">
        <f>SUM(N2567:N2569)</f>
        <v>63</v>
      </c>
      <c r="O2566" s="60">
        <f>SUM(O2567:O2569)</f>
        <v>61</v>
      </c>
      <c r="P2566" s="60">
        <f>SUM(P2567:P2569)</f>
        <v>61</v>
      </c>
      <c r="Q2566" s="23"/>
      <c r="R2566" s="23"/>
      <c r="S2566" s="17"/>
      <c r="T2566" s="47"/>
      <c r="U2566" s="47"/>
      <c r="V2566" s="47"/>
      <c r="W2566" s="47"/>
      <c r="X2566" s="47"/>
      <c r="Y2566" s="47"/>
      <c r="Z2566" s="47"/>
      <c r="AA2566" s="47"/>
      <c r="AB2566" s="47"/>
      <c r="AC2566" s="47"/>
      <c r="AD2566" s="47"/>
      <c r="AE2566" s="47"/>
      <c r="AF2566" s="47"/>
      <c r="AG2566" s="47"/>
      <c r="AH2566" s="47"/>
      <c r="AI2566" s="47"/>
      <c r="AJ2566" s="47"/>
      <c r="AK2566" s="47"/>
      <c r="AL2566" s="47"/>
      <c r="AM2566" s="47"/>
      <c r="AN2566" s="47"/>
      <c r="AO2566" s="47"/>
      <c r="AP2566" s="47"/>
      <c r="AQ2566" s="47"/>
      <c r="AR2566" s="47"/>
      <c r="AS2566" s="47"/>
      <c r="AT2566" s="47"/>
      <c r="AU2566" s="47"/>
      <c r="AV2566" s="47"/>
    </row>
    <row r="2567" spans="1:19" s="48" customFormat="1" ht="19.5" customHeight="1">
      <c r="A2567" s="12"/>
      <c r="B2567" s="97" t="s">
        <v>142</v>
      </c>
      <c r="C2567" s="15" t="s">
        <v>143</v>
      </c>
      <c r="D2567" s="40"/>
      <c r="E2567" s="40"/>
      <c r="F2567" s="40"/>
      <c r="G2567" s="40"/>
      <c r="H2567" s="40"/>
      <c r="I2567" s="40"/>
      <c r="J2567" s="40"/>
      <c r="K2567" s="40"/>
      <c r="L2567" s="40">
        <v>33</v>
      </c>
      <c r="M2567" s="40">
        <v>28</v>
      </c>
      <c r="N2567" s="40">
        <v>27</v>
      </c>
      <c r="O2567" s="40">
        <v>24</v>
      </c>
      <c r="P2567" s="40">
        <v>24</v>
      </c>
      <c r="Q2567" s="68"/>
      <c r="R2567" s="68"/>
      <c r="S2567" s="68"/>
    </row>
    <row r="2568" spans="1:19" s="48" customFormat="1" ht="19.5" customHeight="1">
      <c r="A2568" s="12"/>
      <c r="B2568" s="97" t="s">
        <v>405</v>
      </c>
      <c r="C2568" s="15" t="s">
        <v>406</v>
      </c>
      <c r="D2568" s="40"/>
      <c r="E2568" s="40"/>
      <c r="F2568" s="40"/>
      <c r="G2568" s="40"/>
      <c r="H2568" s="40"/>
      <c r="I2568" s="40"/>
      <c r="J2568" s="40"/>
      <c r="K2568" s="40"/>
      <c r="L2568" s="40">
        <v>11</v>
      </c>
      <c r="M2568" s="40">
        <v>11</v>
      </c>
      <c r="N2568" s="40">
        <v>12</v>
      </c>
      <c r="O2568" s="40">
        <v>12</v>
      </c>
      <c r="P2568" s="40">
        <v>12</v>
      </c>
      <c r="Q2568" s="68"/>
      <c r="R2568" s="68"/>
      <c r="S2568" s="68"/>
    </row>
    <row r="2569" spans="1:19" s="48" customFormat="1" ht="19.5" customHeight="1">
      <c r="A2569" s="12"/>
      <c r="B2569" s="97" t="s">
        <v>1281</v>
      </c>
      <c r="C2569" s="15" t="s">
        <v>1282</v>
      </c>
      <c r="D2569" s="40"/>
      <c r="E2569" s="40"/>
      <c r="F2569" s="40"/>
      <c r="G2569" s="40"/>
      <c r="H2569" s="40"/>
      <c r="I2569" s="40"/>
      <c r="J2569" s="40"/>
      <c r="K2569" s="40"/>
      <c r="L2569" s="40">
        <v>21</v>
      </c>
      <c r="M2569" s="40">
        <v>25</v>
      </c>
      <c r="N2569" s="40">
        <v>24</v>
      </c>
      <c r="O2569" s="40">
        <v>25</v>
      </c>
      <c r="P2569" s="40">
        <v>25</v>
      </c>
      <c r="Q2569" s="68"/>
      <c r="R2569" s="68"/>
      <c r="S2569" s="68"/>
    </row>
    <row r="2570" spans="1:188" s="57" customFormat="1" ht="16.5" customHeight="1">
      <c r="A2570" s="13">
        <v>2</v>
      </c>
      <c r="B2570" s="92" t="s">
        <v>379</v>
      </c>
      <c r="C2570" s="45"/>
      <c r="D2570" s="44"/>
      <c r="E2570" s="44"/>
      <c r="F2570" s="44"/>
      <c r="G2570" s="44"/>
      <c r="H2570" s="44"/>
      <c r="I2570" s="44"/>
      <c r="J2570" s="44"/>
      <c r="K2570" s="44"/>
      <c r="L2570" s="44">
        <f>SUM(L2571,L2573)</f>
        <v>65</v>
      </c>
      <c r="M2570" s="44">
        <f>SUM(M2571,M2573)</f>
        <v>65</v>
      </c>
      <c r="N2570" s="44">
        <f>SUM(N2571,N2573)</f>
        <v>62</v>
      </c>
      <c r="O2570" s="44">
        <f>SUM(O2571,O2573)</f>
        <v>63</v>
      </c>
      <c r="P2570" s="44">
        <f>SUM(P2571,P2573)</f>
        <v>63</v>
      </c>
      <c r="Q2570" s="54" t="s">
        <v>648</v>
      </c>
      <c r="R2570" s="54">
        <v>1</v>
      </c>
      <c r="S2570" s="55" t="s">
        <v>941</v>
      </c>
      <c r="T2570" s="56"/>
      <c r="U2570" s="56"/>
      <c r="V2570" s="56"/>
      <c r="W2570" s="56"/>
      <c r="X2570" s="56"/>
      <c r="Y2570" s="56"/>
      <c r="Z2570" s="56"/>
      <c r="AA2570" s="56"/>
      <c r="AB2570" s="56"/>
      <c r="AC2570" s="56"/>
      <c r="AD2570" s="56"/>
      <c r="AE2570" s="56"/>
      <c r="AF2570" s="56"/>
      <c r="AG2570" s="56"/>
      <c r="AH2570" s="56"/>
      <c r="AI2570" s="56"/>
      <c r="AJ2570" s="56"/>
      <c r="AK2570" s="56"/>
      <c r="AL2570" s="56"/>
      <c r="AM2570" s="56"/>
      <c r="AN2570" s="56"/>
      <c r="AO2570" s="56"/>
      <c r="AP2570" s="56"/>
      <c r="AQ2570" s="56"/>
      <c r="AR2570" s="56"/>
      <c r="AS2570" s="56"/>
      <c r="AT2570" s="56"/>
      <c r="AU2570" s="56"/>
      <c r="AV2570" s="56"/>
      <c r="AW2570" s="56"/>
      <c r="AX2570" s="56"/>
      <c r="AY2570" s="56"/>
      <c r="AZ2570" s="56"/>
      <c r="BA2570" s="56"/>
      <c r="BB2570" s="56"/>
      <c r="BC2570" s="56"/>
      <c r="BD2570" s="56"/>
      <c r="BE2570" s="56"/>
      <c r="BF2570" s="56"/>
      <c r="BG2570" s="56"/>
      <c r="BH2570" s="56"/>
      <c r="BI2570" s="56"/>
      <c r="BJ2570" s="56"/>
      <c r="BK2570" s="56"/>
      <c r="BL2570" s="56"/>
      <c r="BM2570" s="56"/>
      <c r="BN2570" s="56"/>
      <c r="BO2570" s="56"/>
      <c r="BP2570" s="56"/>
      <c r="BQ2570" s="56"/>
      <c r="BR2570" s="56"/>
      <c r="BS2570" s="56"/>
      <c r="BT2570" s="56"/>
      <c r="BU2570" s="56"/>
      <c r="BV2570" s="56"/>
      <c r="BW2570" s="56"/>
      <c r="BX2570" s="56"/>
      <c r="BY2570" s="56"/>
      <c r="BZ2570" s="56"/>
      <c r="CA2570" s="56"/>
      <c r="CB2570" s="56"/>
      <c r="CC2570" s="56"/>
      <c r="CD2570" s="56"/>
      <c r="CE2570" s="56"/>
      <c r="CF2570" s="56"/>
      <c r="CG2570" s="56"/>
      <c r="CH2570" s="56"/>
      <c r="CI2570" s="56"/>
      <c r="CJ2570" s="56"/>
      <c r="CK2570" s="56"/>
      <c r="CL2570" s="56"/>
      <c r="CM2570" s="56"/>
      <c r="CN2570" s="56"/>
      <c r="CO2570" s="56"/>
      <c r="CP2570" s="56"/>
      <c r="CQ2570" s="56"/>
      <c r="CR2570" s="56"/>
      <c r="CS2570" s="56"/>
      <c r="CT2570" s="56"/>
      <c r="CU2570" s="56"/>
      <c r="CV2570" s="56"/>
      <c r="CW2570" s="56"/>
      <c r="CX2570" s="56"/>
      <c r="CY2570" s="56"/>
      <c r="CZ2570" s="56"/>
      <c r="DA2570" s="56"/>
      <c r="DB2570" s="56"/>
      <c r="DC2570" s="56"/>
      <c r="DD2570" s="56"/>
      <c r="DE2570" s="56"/>
      <c r="DF2570" s="56"/>
      <c r="DG2570" s="56"/>
      <c r="DH2570" s="56"/>
      <c r="DI2570" s="56"/>
      <c r="DJ2570" s="56"/>
      <c r="DK2570" s="56"/>
      <c r="DL2570" s="56"/>
      <c r="DM2570" s="56"/>
      <c r="DN2570" s="56"/>
      <c r="DO2570" s="56"/>
      <c r="DP2570" s="56"/>
      <c r="DQ2570" s="56"/>
      <c r="DR2570" s="56"/>
      <c r="DS2570" s="56"/>
      <c r="DT2570" s="56"/>
      <c r="DU2570" s="56"/>
      <c r="DV2570" s="56"/>
      <c r="DW2570" s="56"/>
      <c r="DX2570" s="56"/>
      <c r="DY2570" s="56"/>
      <c r="DZ2570" s="56"/>
      <c r="EA2570" s="56"/>
      <c r="EB2570" s="56"/>
      <c r="EC2570" s="56"/>
      <c r="ED2570" s="56"/>
      <c r="EE2570" s="56"/>
      <c r="EF2570" s="56"/>
      <c r="EG2570" s="56"/>
      <c r="EH2570" s="56"/>
      <c r="EI2570" s="56"/>
      <c r="EJ2570" s="56"/>
      <c r="EK2570" s="56"/>
      <c r="EL2570" s="56"/>
      <c r="EM2570" s="56"/>
      <c r="EN2570" s="56"/>
      <c r="EO2570" s="56"/>
      <c r="EP2570" s="56"/>
      <c r="EQ2570" s="56"/>
      <c r="ER2570" s="56"/>
      <c r="ES2570" s="56"/>
      <c r="ET2570" s="56"/>
      <c r="EU2570" s="56"/>
      <c r="EV2570" s="56"/>
      <c r="EW2570" s="56"/>
      <c r="EX2570" s="56"/>
      <c r="EY2570" s="56"/>
      <c r="EZ2570" s="56"/>
      <c r="FA2570" s="56"/>
      <c r="FB2570" s="56"/>
      <c r="FC2570" s="56"/>
      <c r="FD2570" s="56"/>
      <c r="FE2570" s="56"/>
      <c r="FF2570" s="56"/>
      <c r="FG2570" s="56"/>
      <c r="FH2570" s="56"/>
      <c r="FI2570" s="56"/>
      <c r="FJ2570" s="56"/>
      <c r="FK2570" s="56"/>
      <c r="FL2570" s="56"/>
      <c r="FM2570" s="56"/>
      <c r="FN2570" s="56"/>
      <c r="FO2570" s="56"/>
      <c r="FP2570" s="56"/>
      <c r="FQ2570" s="56"/>
      <c r="FR2570" s="56"/>
      <c r="FS2570" s="56"/>
      <c r="FT2570" s="56"/>
      <c r="FU2570" s="56"/>
      <c r="FV2570" s="56"/>
      <c r="FW2570" s="56"/>
      <c r="FX2570" s="56"/>
      <c r="FY2570" s="56"/>
      <c r="FZ2570" s="56"/>
      <c r="GA2570" s="56"/>
      <c r="GB2570" s="56"/>
      <c r="GC2570" s="56"/>
      <c r="GD2570" s="56"/>
      <c r="GE2570" s="56"/>
      <c r="GF2570" s="56"/>
    </row>
    <row r="2571" spans="1:57" s="43" customFormat="1" ht="15.75">
      <c r="A2571" s="13"/>
      <c r="B2571" s="104" t="s">
        <v>669</v>
      </c>
      <c r="C2571" s="15"/>
      <c r="D2571" s="40"/>
      <c r="E2571" s="40"/>
      <c r="F2571" s="40"/>
      <c r="G2571" s="40"/>
      <c r="H2571" s="40"/>
      <c r="I2571" s="40"/>
      <c r="J2571" s="40"/>
      <c r="K2571" s="40"/>
      <c r="L2571" s="60">
        <f>L2572</f>
        <v>32</v>
      </c>
      <c r="M2571" s="60">
        <f>M2572</f>
        <v>32</v>
      </c>
      <c r="N2571" s="60">
        <f>N2572</f>
        <v>31</v>
      </c>
      <c r="O2571" s="60">
        <f>O2572</f>
        <v>32</v>
      </c>
      <c r="P2571" s="60">
        <f>P2572</f>
        <v>32</v>
      </c>
      <c r="Q2571" s="70"/>
      <c r="R2571" s="41"/>
      <c r="S2571" s="41"/>
      <c r="T2571" s="46"/>
      <c r="U2571" s="46"/>
      <c r="V2571" s="46"/>
      <c r="W2571" s="46"/>
      <c r="X2571" s="46"/>
      <c r="Y2571" s="46"/>
      <c r="Z2571" s="46"/>
      <c r="AA2571" s="46"/>
      <c r="AB2571" s="46"/>
      <c r="AC2571" s="46"/>
      <c r="AD2571" s="46"/>
      <c r="AE2571" s="46"/>
      <c r="AF2571" s="46"/>
      <c r="AG2571" s="46"/>
      <c r="AH2571" s="46"/>
      <c r="AI2571" s="46"/>
      <c r="AJ2571" s="46"/>
      <c r="AK2571" s="46"/>
      <c r="AL2571" s="46"/>
      <c r="AM2571" s="46"/>
      <c r="AN2571" s="46"/>
      <c r="AO2571" s="46"/>
      <c r="AP2571" s="46"/>
      <c r="AQ2571" s="46"/>
      <c r="AR2571" s="46"/>
      <c r="AS2571" s="46"/>
      <c r="AT2571" s="46"/>
      <c r="AU2571" s="46"/>
      <c r="AV2571" s="46"/>
      <c r="BA2571" s="49"/>
      <c r="BB2571" s="42"/>
      <c r="BC2571" s="42"/>
      <c r="BD2571" s="42"/>
      <c r="BE2571" s="42"/>
    </row>
    <row r="2572" spans="1:57" s="43" customFormat="1" ht="17.25" customHeight="1">
      <c r="A2572" s="13"/>
      <c r="B2572" s="105" t="s">
        <v>1280</v>
      </c>
      <c r="C2572" s="15" t="s">
        <v>1279</v>
      </c>
      <c r="D2572" s="40"/>
      <c r="E2572" s="40"/>
      <c r="F2572" s="40"/>
      <c r="G2572" s="40"/>
      <c r="H2572" s="40"/>
      <c r="I2572" s="40"/>
      <c r="J2572" s="40"/>
      <c r="K2572" s="40"/>
      <c r="L2572" s="40">
        <v>32</v>
      </c>
      <c r="M2572" s="40">
        <v>32</v>
      </c>
      <c r="N2572" s="40">
        <v>31</v>
      </c>
      <c r="O2572" s="40">
        <v>32</v>
      </c>
      <c r="P2572" s="40">
        <v>32</v>
      </c>
      <c r="Q2572" s="70"/>
      <c r="R2572" s="41"/>
      <c r="S2572" s="41"/>
      <c r="T2572" s="46"/>
      <c r="U2572" s="46"/>
      <c r="V2572" s="46"/>
      <c r="W2572" s="46"/>
      <c r="X2572" s="46"/>
      <c r="Y2572" s="46"/>
      <c r="Z2572" s="46"/>
      <c r="AA2572" s="46"/>
      <c r="AB2572" s="46"/>
      <c r="AC2572" s="46"/>
      <c r="AD2572" s="46"/>
      <c r="AE2572" s="46"/>
      <c r="AF2572" s="46"/>
      <c r="AG2572" s="46"/>
      <c r="AH2572" s="46"/>
      <c r="AI2572" s="46"/>
      <c r="AJ2572" s="46"/>
      <c r="AK2572" s="46"/>
      <c r="AL2572" s="46"/>
      <c r="AM2572" s="46"/>
      <c r="AN2572" s="46"/>
      <c r="AO2572" s="46"/>
      <c r="AP2572" s="46"/>
      <c r="AQ2572" s="46"/>
      <c r="AR2572" s="46"/>
      <c r="AS2572" s="46"/>
      <c r="AT2572" s="46"/>
      <c r="AU2572" s="46"/>
      <c r="AV2572" s="46"/>
      <c r="BA2572" s="49"/>
      <c r="BB2572" s="42"/>
      <c r="BC2572" s="42"/>
      <c r="BD2572" s="42"/>
      <c r="BE2572" s="42"/>
    </row>
    <row r="2573" spans="1:48" s="18" customFormat="1" ht="15.75" customHeight="1">
      <c r="A2573" s="50"/>
      <c r="B2573" s="93" t="s">
        <v>670</v>
      </c>
      <c r="C2573" s="16"/>
      <c r="D2573" s="52"/>
      <c r="E2573" s="52"/>
      <c r="F2573" s="52"/>
      <c r="G2573" s="52"/>
      <c r="H2573" s="52"/>
      <c r="I2573" s="52"/>
      <c r="J2573" s="52"/>
      <c r="K2573" s="52"/>
      <c r="L2573" s="60">
        <f>L2574</f>
        <v>33</v>
      </c>
      <c r="M2573" s="60">
        <f>M2574</f>
        <v>33</v>
      </c>
      <c r="N2573" s="60">
        <f>N2574</f>
        <v>31</v>
      </c>
      <c r="O2573" s="60">
        <f>O2574</f>
        <v>31</v>
      </c>
      <c r="P2573" s="60">
        <f>P2574</f>
        <v>31</v>
      </c>
      <c r="Q2573" s="23"/>
      <c r="R2573" s="23"/>
      <c r="S2573" s="17"/>
      <c r="T2573" s="47"/>
      <c r="U2573" s="47"/>
      <c r="V2573" s="47"/>
      <c r="W2573" s="47"/>
      <c r="X2573" s="47"/>
      <c r="Y2573" s="47"/>
      <c r="Z2573" s="47"/>
      <c r="AA2573" s="47"/>
      <c r="AB2573" s="47"/>
      <c r="AC2573" s="47"/>
      <c r="AD2573" s="47"/>
      <c r="AE2573" s="47"/>
      <c r="AF2573" s="47"/>
      <c r="AG2573" s="47"/>
      <c r="AH2573" s="47"/>
      <c r="AI2573" s="47"/>
      <c r="AJ2573" s="47"/>
      <c r="AK2573" s="47"/>
      <c r="AL2573" s="47"/>
      <c r="AM2573" s="47"/>
      <c r="AN2573" s="47"/>
      <c r="AO2573" s="47"/>
      <c r="AP2573" s="47"/>
      <c r="AQ2573" s="47"/>
      <c r="AR2573" s="47"/>
      <c r="AS2573" s="47"/>
      <c r="AT2573" s="47"/>
      <c r="AU2573" s="47"/>
      <c r="AV2573" s="47"/>
    </row>
    <row r="2574" spans="2:16" ht="18" customHeight="1">
      <c r="B2574" s="97" t="s">
        <v>139</v>
      </c>
      <c r="C2574" s="15" t="s">
        <v>1284</v>
      </c>
      <c r="L2574" s="40">
        <v>33</v>
      </c>
      <c r="M2574" s="40">
        <v>33</v>
      </c>
      <c r="N2574" s="40">
        <v>31</v>
      </c>
      <c r="O2574" s="40">
        <v>31</v>
      </c>
      <c r="P2574" s="40">
        <v>31</v>
      </c>
    </row>
    <row r="2575" spans="1:188" s="57" customFormat="1" ht="17.25" customHeight="1">
      <c r="A2575" s="13">
        <v>3</v>
      </c>
      <c r="B2575" s="92" t="s">
        <v>399</v>
      </c>
      <c r="C2575" s="45"/>
      <c r="D2575" s="44"/>
      <c r="E2575" s="44"/>
      <c r="F2575" s="44"/>
      <c r="G2575" s="44"/>
      <c r="H2575" s="44"/>
      <c r="I2575" s="44"/>
      <c r="J2575" s="44"/>
      <c r="K2575" s="44"/>
      <c r="L2575" s="44">
        <f>L2582</f>
        <v>51</v>
      </c>
      <c r="M2575" s="44">
        <f aca="true" t="shared" si="80" ref="M2575:S2575">M2582</f>
        <v>45</v>
      </c>
      <c r="N2575" s="44">
        <f t="shared" si="80"/>
        <v>47</v>
      </c>
      <c r="O2575" s="44">
        <f t="shared" si="80"/>
        <v>45</v>
      </c>
      <c r="P2575" s="44">
        <f t="shared" si="80"/>
        <v>44</v>
      </c>
      <c r="Q2575" s="123">
        <f t="shared" si="80"/>
        <v>0</v>
      </c>
      <c r="R2575" s="44">
        <f t="shared" si="80"/>
        <v>0</v>
      </c>
      <c r="S2575" s="44">
        <f t="shared" si="80"/>
        <v>0</v>
      </c>
      <c r="T2575" s="56"/>
      <c r="U2575" s="56"/>
      <c r="V2575" s="56"/>
      <c r="W2575" s="56"/>
      <c r="X2575" s="56"/>
      <c r="Y2575" s="56"/>
      <c r="Z2575" s="56"/>
      <c r="AA2575" s="56"/>
      <c r="AB2575" s="56"/>
      <c r="AC2575" s="56"/>
      <c r="AD2575" s="56"/>
      <c r="AE2575" s="56"/>
      <c r="AF2575" s="56"/>
      <c r="AG2575" s="56"/>
      <c r="AH2575" s="56"/>
      <c r="AI2575" s="56"/>
      <c r="AJ2575" s="56"/>
      <c r="AK2575" s="56"/>
      <c r="AL2575" s="56"/>
      <c r="AM2575" s="56"/>
      <c r="AN2575" s="56"/>
      <c r="AO2575" s="56"/>
      <c r="AP2575" s="56"/>
      <c r="AQ2575" s="56"/>
      <c r="AR2575" s="56"/>
      <c r="AS2575" s="56"/>
      <c r="AT2575" s="56"/>
      <c r="AU2575" s="56"/>
      <c r="AV2575" s="56"/>
      <c r="AW2575" s="56"/>
      <c r="AX2575" s="56"/>
      <c r="AY2575" s="56"/>
      <c r="AZ2575" s="56"/>
      <c r="BA2575" s="56"/>
      <c r="BB2575" s="56"/>
      <c r="BC2575" s="56"/>
      <c r="BD2575" s="56"/>
      <c r="BE2575" s="56"/>
      <c r="BF2575" s="56"/>
      <c r="BG2575" s="56"/>
      <c r="BH2575" s="56"/>
      <c r="BI2575" s="56"/>
      <c r="BJ2575" s="56"/>
      <c r="BK2575" s="56"/>
      <c r="BL2575" s="56"/>
      <c r="BM2575" s="56"/>
      <c r="BN2575" s="56"/>
      <c r="BO2575" s="56"/>
      <c r="BP2575" s="56"/>
      <c r="BQ2575" s="56"/>
      <c r="BR2575" s="56"/>
      <c r="BS2575" s="56"/>
      <c r="BT2575" s="56"/>
      <c r="BU2575" s="56"/>
      <c r="BV2575" s="56"/>
      <c r="BW2575" s="56"/>
      <c r="BX2575" s="56"/>
      <c r="BY2575" s="56"/>
      <c r="BZ2575" s="56"/>
      <c r="CA2575" s="56"/>
      <c r="CB2575" s="56"/>
      <c r="CC2575" s="56"/>
      <c r="CD2575" s="56"/>
      <c r="CE2575" s="56"/>
      <c r="CF2575" s="56"/>
      <c r="CG2575" s="56"/>
      <c r="CH2575" s="56"/>
      <c r="CI2575" s="56"/>
      <c r="CJ2575" s="56"/>
      <c r="CK2575" s="56"/>
      <c r="CL2575" s="56"/>
      <c r="CM2575" s="56"/>
      <c r="CN2575" s="56"/>
      <c r="CO2575" s="56"/>
      <c r="CP2575" s="56"/>
      <c r="CQ2575" s="56"/>
      <c r="CR2575" s="56"/>
      <c r="CS2575" s="56"/>
      <c r="CT2575" s="56"/>
      <c r="CU2575" s="56"/>
      <c r="CV2575" s="56"/>
      <c r="CW2575" s="56"/>
      <c r="CX2575" s="56"/>
      <c r="CY2575" s="56"/>
      <c r="CZ2575" s="56"/>
      <c r="DA2575" s="56"/>
      <c r="DB2575" s="56"/>
      <c r="DC2575" s="56"/>
      <c r="DD2575" s="56"/>
      <c r="DE2575" s="56"/>
      <c r="DF2575" s="56"/>
      <c r="DG2575" s="56"/>
      <c r="DH2575" s="56"/>
      <c r="DI2575" s="56"/>
      <c r="DJ2575" s="56"/>
      <c r="DK2575" s="56"/>
      <c r="DL2575" s="56"/>
      <c r="DM2575" s="56"/>
      <c r="DN2575" s="56"/>
      <c r="DO2575" s="56"/>
      <c r="DP2575" s="56"/>
      <c r="DQ2575" s="56"/>
      <c r="DR2575" s="56"/>
      <c r="DS2575" s="56"/>
      <c r="DT2575" s="56"/>
      <c r="DU2575" s="56"/>
      <c r="DV2575" s="56"/>
      <c r="DW2575" s="56"/>
      <c r="DX2575" s="56"/>
      <c r="DY2575" s="56"/>
      <c r="DZ2575" s="56"/>
      <c r="EA2575" s="56"/>
      <c r="EB2575" s="56"/>
      <c r="EC2575" s="56"/>
      <c r="ED2575" s="56"/>
      <c r="EE2575" s="56"/>
      <c r="EF2575" s="56"/>
      <c r="EG2575" s="56"/>
      <c r="EH2575" s="56"/>
      <c r="EI2575" s="56"/>
      <c r="EJ2575" s="56"/>
      <c r="EK2575" s="56"/>
      <c r="EL2575" s="56"/>
      <c r="EM2575" s="56"/>
      <c r="EN2575" s="56"/>
      <c r="EO2575" s="56"/>
      <c r="EP2575" s="56"/>
      <c r="EQ2575" s="56"/>
      <c r="ER2575" s="56"/>
      <c r="ES2575" s="56"/>
      <c r="ET2575" s="56"/>
      <c r="EU2575" s="56"/>
      <c r="EV2575" s="56"/>
      <c r="EW2575" s="56"/>
      <c r="EX2575" s="56"/>
      <c r="EY2575" s="56"/>
      <c r="EZ2575" s="56"/>
      <c r="FA2575" s="56"/>
      <c r="FB2575" s="56"/>
      <c r="FC2575" s="56"/>
      <c r="FD2575" s="56"/>
      <c r="FE2575" s="56"/>
      <c r="FF2575" s="56"/>
      <c r="FG2575" s="56"/>
      <c r="FH2575" s="56"/>
      <c r="FI2575" s="56"/>
      <c r="FJ2575" s="56"/>
      <c r="FK2575" s="56"/>
      <c r="FL2575" s="56"/>
      <c r="FM2575" s="56"/>
      <c r="FN2575" s="56"/>
      <c r="FO2575" s="56"/>
      <c r="FP2575" s="56"/>
      <c r="FQ2575" s="56"/>
      <c r="FR2575" s="56"/>
      <c r="FS2575" s="56"/>
      <c r="FT2575" s="56"/>
      <c r="FU2575" s="56"/>
      <c r="FV2575" s="56"/>
      <c r="FW2575" s="56"/>
      <c r="FX2575" s="56"/>
      <c r="FY2575" s="56"/>
      <c r="FZ2575" s="56"/>
      <c r="GA2575" s="56"/>
      <c r="GB2575" s="56"/>
      <c r="GC2575" s="56"/>
      <c r="GD2575" s="56"/>
      <c r="GE2575" s="56"/>
      <c r="GF2575" s="56"/>
    </row>
    <row r="2576" spans="1:57" s="43" customFormat="1" ht="15.75">
      <c r="A2576" s="13"/>
      <c r="B2576" s="104" t="s">
        <v>669</v>
      </c>
      <c r="C2576" s="15"/>
      <c r="D2576" s="40"/>
      <c r="E2576" s="40"/>
      <c r="F2576" s="40"/>
      <c r="G2576" s="40"/>
      <c r="H2576" s="40"/>
      <c r="I2576" s="40"/>
      <c r="J2576" s="40"/>
      <c r="K2576" s="40"/>
      <c r="L2576" s="60">
        <f>L2577</f>
        <v>4</v>
      </c>
      <c r="M2576" s="60">
        <f>M2577</f>
        <v>4</v>
      </c>
      <c r="N2576" s="60">
        <f>N2577</f>
        <v>4</v>
      </c>
      <c r="O2576" s="60">
        <f>O2577</f>
        <v>4</v>
      </c>
      <c r="P2576" s="60">
        <f>P2577</f>
        <v>4</v>
      </c>
      <c r="Q2576" s="70"/>
      <c r="R2576" s="41"/>
      <c r="S2576" s="41"/>
      <c r="T2576" s="46"/>
      <c r="U2576" s="46"/>
      <c r="V2576" s="46"/>
      <c r="W2576" s="46"/>
      <c r="X2576" s="46"/>
      <c r="Y2576" s="46"/>
      <c r="Z2576" s="46"/>
      <c r="AA2576" s="46"/>
      <c r="AB2576" s="46"/>
      <c r="AC2576" s="46"/>
      <c r="AD2576" s="46"/>
      <c r="AE2576" s="46"/>
      <c r="AF2576" s="46"/>
      <c r="AG2576" s="46"/>
      <c r="AH2576" s="46"/>
      <c r="AI2576" s="46"/>
      <c r="AJ2576" s="46"/>
      <c r="AK2576" s="46"/>
      <c r="AL2576" s="46"/>
      <c r="AM2576" s="46"/>
      <c r="AN2576" s="46"/>
      <c r="AO2576" s="46"/>
      <c r="AP2576" s="46"/>
      <c r="AQ2576" s="46"/>
      <c r="AR2576" s="46"/>
      <c r="AS2576" s="46"/>
      <c r="AT2576" s="46"/>
      <c r="AU2576" s="46"/>
      <c r="AV2576" s="46"/>
      <c r="BA2576" s="49"/>
      <c r="BB2576" s="42"/>
      <c r="BC2576" s="42"/>
      <c r="BD2576" s="42"/>
      <c r="BE2576" s="42"/>
    </row>
    <row r="2577" spans="1:57" s="43" customFormat="1" ht="17.25" customHeight="1">
      <c r="A2577" s="13"/>
      <c r="B2577" s="97" t="s">
        <v>411</v>
      </c>
      <c r="C2577" s="15" t="s">
        <v>412</v>
      </c>
      <c r="D2577" s="40"/>
      <c r="E2577" s="40"/>
      <c r="F2577" s="40"/>
      <c r="G2577" s="40"/>
      <c r="H2577" s="40"/>
      <c r="I2577" s="40"/>
      <c r="J2577" s="40"/>
      <c r="K2577" s="40"/>
      <c r="L2577" s="40">
        <v>4</v>
      </c>
      <c r="M2577" s="40">
        <v>4</v>
      </c>
      <c r="N2577" s="40">
        <v>4</v>
      </c>
      <c r="O2577" s="40">
        <v>4</v>
      </c>
      <c r="P2577" s="40">
        <v>4</v>
      </c>
      <c r="Q2577" s="70"/>
      <c r="R2577" s="41"/>
      <c r="S2577" s="41"/>
      <c r="T2577" s="46"/>
      <c r="U2577" s="46"/>
      <c r="V2577" s="46"/>
      <c r="W2577" s="46"/>
      <c r="X2577" s="46"/>
      <c r="Y2577" s="46"/>
      <c r="Z2577" s="46"/>
      <c r="AA2577" s="46"/>
      <c r="AB2577" s="46"/>
      <c r="AC2577" s="46"/>
      <c r="AD2577" s="46"/>
      <c r="AE2577" s="46"/>
      <c r="AF2577" s="46"/>
      <c r="AG2577" s="46"/>
      <c r="AH2577" s="46"/>
      <c r="AI2577" s="46"/>
      <c r="AJ2577" s="46"/>
      <c r="AK2577" s="46"/>
      <c r="AL2577" s="46"/>
      <c r="AM2577" s="46"/>
      <c r="AN2577" s="46"/>
      <c r="AO2577" s="46"/>
      <c r="AP2577" s="46"/>
      <c r="AQ2577" s="46"/>
      <c r="AR2577" s="46"/>
      <c r="AS2577" s="46"/>
      <c r="AT2577" s="46"/>
      <c r="AU2577" s="46"/>
      <c r="AV2577" s="46"/>
      <c r="BA2577" s="49"/>
      <c r="BB2577" s="42"/>
      <c r="BC2577" s="42"/>
      <c r="BD2577" s="42"/>
      <c r="BE2577" s="42"/>
    </row>
    <row r="2578" spans="1:48" s="27" customFormat="1" ht="17.25" customHeight="1">
      <c r="A2578" s="12"/>
      <c r="B2578" s="97" t="s">
        <v>297</v>
      </c>
      <c r="C2578" s="15" t="s">
        <v>298</v>
      </c>
      <c r="D2578" s="51"/>
      <c r="E2578" s="51"/>
      <c r="F2578" s="51"/>
      <c r="G2578" s="51"/>
      <c r="H2578" s="51"/>
      <c r="I2578" s="51"/>
      <c r="J2578" s="51"/>
      <c r="K2578" s="51"/>
      <c r="L2578" s="40">
        <v>225</v>
      </c>
      <c r="M2578" s="40">
        <v>225</v>
      </c>
      <c r="N2578" s="40">
        <v>227</v>
      </c>
      <c r="O2578" s="40">
        <v>227</v>
      </c>
      <c r="P2578" s="40">
        <v>227</v>
      </c>
      <c r="Q2578" s="39"/>
      <c r="R2578" s="39"/>
      <c r="S2578" s="39"/>
      <c r="T2578" s="48"/>
      <c r="U2578" s="48"/>
      <c r="V2578" s="48"/>
      <c r="W2578" s="48"/>
      <c r="X2578" s="48"/>
      <c r="Y2578" s="48"/>
      <c r="Z2578" s="48"/>
      <c r="AA2578" s="48"/>
      <c r="AB2578" s="48"/>
      <c r="AC2578" s="48"/>
      <c r="AD2578" s="48"/>
      <c r="AE2578" s="48"/>
      <c r="AF2578" s="48"/>
      <c r="AG2578" s="48"/>
      <c r="AH2578" s="48"/>
      <c r="AI2578" s="48"/>
      <c r="AJ2578" s="48"/>
      <c r="AK2578" s="48"/>
      <c r="AL2578" s="48"/>
      <c r="AM2578" s="48"/>
      <c r="AN2578" s="48"/>
      <c r="AO2578" s="48"/>
      <c r="AP2578" s="48"/>
      <c r="AQ2578" s="48"/>
      <c r="AR2578" s="48"/>
      <c r="AS2578" s="48"/>
      <c r="AT2578" s="48"/>
      <c r="AU2578" s="48"/>
      <c r="AV2578" s="48"/>
    </row>
    <row r="2579" spans="1:48" s="27" customFormat="1" ht="17.25" customHeight="1">
      <c r="A2579" s="12"/>
      <c r="B2579" s="97" t="s">
        <v>460</v>
      </c>
      <c r="C2579" s="29" t="s">
        <v>544</v>
      </c>
      <c r="D2579" s="51"/>
      <c r="E2579" s="51"/>
      <c r="F2579" s="51"/>
      <c r="G2579" s="51"/>
      <c r="H2579" s="51"/>
      <c r="I2579" s="51"/>
      <c r="J2579" s="51"/>
      <c r="K2579" s="51"/>
      <c r="L2579" s="40">
        <v>73</v>
      </c>
      <c r="M2579" s="40">
        <v>74</v>
      </c>
      <c r="N2579" s="40">
        <v>73</v>
      </c>
      <c r="O2579" s="40">
        <v>73</v>
      </c>
      <c r="P2579" s="40">
        <v>73</v>
      </c>
      <c r="Q2579" s="39"/>
      <c r="R2579" s="39"/>
      <c r="S2579" s="39"/>
      <c r="T2579" s="48"/>
      <c r="U2579" s="48"/>
      <c r="V2579" s="48"/>
      <c r="W2579" s="48"/>
      <c r="X2579" s="48"/>
      <c r="Y2579" s="48"/>
      <c r="Z2579" s="48"/>
      <c r="AA2579" s="48"/>
      <c r="AB2579" s="48"/>
      <c r="AC2579" s="48"/>
      <c r="AD2579" s="48"/>
      <c r="AE2579" s="48"/>
      <c r="AF2579" s="48"/>
      <c r="AG2579" s="48"/>
      <c r="AH2579" s="48"/>
      <c r="AI2579" s="48"/>
      <c r="AJ2579" s="48"/>
      <c r="AK2579" s="48"/>
      <c r="AL2579" s="48"/>
      <c r="AM2579" s="48"/>
      <c r="AN2579" s="48"/>
      <c r="AO2579" s="48"/>
      <c r="AP2579" s="48"/>
      <c r="AQ2579" s="48"/>
      <c r="AR2579" s="48"/>
      <c r="AS2579" s="48"/>
      <c r="AT2579" s="48"/>
      <c r="AU2579" s="48"/>
      <c r="AV2579" s="48"/>
    </row>
    <row r="2580" spans="1:48" s="27" customFormat="1" ht="17.25" customHeight="1">
      <c r="A2580" s="12"/>
      <c r="B2580" s="97" t="s">
        <v>531</v>
      </c>
      <c r="C2580" s="29" t="s">
        <v>532</v>
      </c>
      <c r="D2580" s="51"/>
      <c r="E2580" s="51"/>
      <c r="F2580" s="51"/>
      <c r="G2580" s="51"/>
      <c r="H2580" s="51"/>
      <c r="I2580" s="51"/>
      <c r="J2580" s="51"/>
      <c r="K2580" s="51"/>
      <c r="L2580" s="40">
        <v>5</v>
      </c>
      <c r="M2580" s="40">
        <v>5</v>
      </c>
      <c r="N2580" s="40">
        <v>5</v>
      </c>
      <c r="O2580" s="40">
        <v>5</v>
      </c>
      <c r="P2580" s="40">
        <v>5</v>
      </c>
      <c r="Q2580" s="39"/>
      <c r="R2580" s="39"/>
      <c r="S2580" s="39"/>
      <c r="T2580" s="48"/>
      <c r="U2580" s="48"/>
      <c r="V2580" s="48"/>
      <c r="W2580" s="48"/>
      <c r="X2580" s="48"/>
      <c r="Y2580" s="48"/>
      <c r="Z2580" s="48"/>
      <c r="AA2580" s="48"/>
      <c r="AB2580" s="48"/>
      <c r="AC2580" s="48"/>
      <c r="AD2580" s="48"/>
      <c r="AE2580" s="48"/>
      <c r="AF2580" s="48"/>
      <c r="AG2580" s="48"/>
      <c r="AH2580" s="48"/>
      <c r="AI2580" s="48"/>
      <c r="AJ2580" s="48"/>
      <c r="AK2580" s="48"/>
      <c r="AL2580" s="48"/>
      <c r="AM2580" s="48"/>
      <c r="AN2580" s="48"/>
      <c r="AO2580" s="48"/>
      <c r="AP2580" s="48"/>
      <c r="AQ2580" s="48"/>
      <c r="AR2580" s="48"/>
      <c r="AS2580" s="48"/>
      <c r="AT2580" s="48"/>
      <c r="AU2580" s="48"/>
      <c r="AV2580" s="48"/>
    </row>
    <row r="2581" spans="1:48" s="27" customFormat="1" ht="17.25" customHeight="1">
      <c r="A2581" s="12"/>
      <c r="B2581" s="97" t="s">
        <v>411</v>
      </c>
      <c r="C2581" s="15" t="s">
        <v>412</v>
      </c>
      <c r="D2581" s="51"/>
      <c r="E2581" s="51"/>
      <c r="F2581" s="51"/>
      <c r="G2581" s="51"/>
      <c r="H2581" s="51"/>
      <c r="I2581" s="51"/>
      <c r="J2581" s="51"/>
      <c r="K2581" s="51"/>
      <c r="L2581" s="40">
        <v>137</v>
      </c>
      <c r="M2581" s="40">
        <v>140</v>
      </c>
      <c r="N2581" s="40">
        <v>137</v>
      </c>
      <c r="O2581" s="40">
        <v>140</v>
      </c>
      <c r="P2581" s="40">
        <v>139</v>
      </c>
      <c r="Q2581" s="39"/>
      <c r="R2581" s="39"/>
      <c r="S2581" s="39"/>
      <c r="T2581" s="48"/>
      <c r="U2581" s="48"/>
      <c r="V2581" s="48"/>
      <c r="W2581" s="48"/>
      <c r="X2581" s="48"/>
      <c r="Y2581" s="48"/>
      <c r="Z2581" s="48"/>
      <c r="AA2581" s="48"/>
      <c r="AB2581" s="48"/>
      <c r="AC2581" s="48"/>
      <c r="AD2581" s="48"/>
      <c r="AE2581" s="48"/>
      <c r="AF2581" s="48"/>
      <c r="AG2581" s="48"/>
      <c r="AH2581" s="48"/>
      <c r="AI2581" s="48"/>
      <c r="AJ2581" s="48"/>
      <c r="AK2581" s="48"/>
      <c r="AL2581" s="48"/>
      <c r="AM2581" s="48"/>
      <c r="AN2581" s="48"/>
      <c r="AO2581" s="48"/>
      <c r="AP2581" s="48"/>
      <c r="AQ2581" s="48"/>
      <c r="AR2581" s="48"/>
      <c r="AS2581" s="48"/>
      <c r="AT2581" s="48"/>
      <c r="AU2581" s="48"/>
      <c r="AV2581" s="48"/>
    </row>
    <row r="2582" spans="1:48" s="18" customFormat="1" ht="18.75" customHeight="1">
      <c r="A2582" s="50"/>
      <c r="B2582" s="93" t="s">
        <v>670</v>
      </c>
      <c r="C2582" s="16"/>
      <c r="D2582" s="52"/>
      <c r="E2582" s="52"/>
      <c r="F2582" s="52"/>
      <c r="G2582" s="52"/>
      <c r="H2582" s="52"/>
      <c r="I2582" s="52"/>
      <c r="J2582" s="52"/>
      <c r="K2582" s="52"/>
      <c r="L2582" s="60">
        <f>SUM(L2583:L2586)</f>
        <v>51</v>
      </c>
      <c r="M2582" s="60">
        <f>SUM(M2583:M2586)</f>
        <v>45</v>
      </c>
      <c r="N2582" s="60">
        <f>SUM(N2583:N2586)</f>
        <v>47</v>
      </c>
      <c r="O2582" s="60">
        <f>SUM(O2583:O2586)</f>
        <v>45</v>
      </c>
      <c r="P2582" s="60">
        <f>SUM(P2583:P2586)</f>
        <v>44</v>
      </c>
      <c r="Q2582" s="23"/>
      <c r="R2582" s="23"/>
      <c r="S2582" s="17"/>
      <c r="T2582" s="47"/>
      <c r="U2582" s="47"/>
      <c r="V2582" s="47"/>
      <c r="W2582" s="47"/>
      <c r="X2582" s="47"/>
      <c r="Y2582" s="47"/>
      <c r="Z2582" s="47"/>
      <c r="AA2582" s="47"/>
      <c r="AB2582" s="47"/>
      <c r="AC2582" s="47"/>
      <c r="AD2582" s="47"/>
      <c r="AE2582" s="47"/>
      <c r="AF2582" s="47"/>
      <c r="AG2582" s="47"/>
      <c r="AH2582" s="47"/>
      <c r="AI2582" s="47"/>
      <c r="AJ2582" s="47"/>
      <c r="AK2582" s="47"/>
      <c r="AL2582" s="47"/>
      <c r="AM2582" s="47"/>
      <c r="AN2582" s="47"/>
      <c r="AO2582" s="47"/>
      <c r="AP2582" s="47"/>
      <c r="AQ2582" s="47"/>
      <c r="AR2582" s="47"/>
      <c r="AS2582" s="47"/>
      <c r="AT2582" s="47"/>
      <c r="AU2582" s="47"/>
      <c r="AV2582" s="47"/>
    </row>
    <row r="2583" spans="1:48" s="27" customFormat="1" ht="17.25" customHeight="1">
      <c r="A2583" s="12"/>
      <c r="B2583" s="97" t="s">
        <v>1285</v>
      </c>
      <c r="C2583" s="29" t="s">
        <v>1286</v>
      </c>
      <c r="D2583" s="51"/>
      <c r="E2583" s="51"/>
      <c r="F2583" s="51"/>
      <c r="G2583" s="51"/>
      <c r="H2583" s="51"/>
      <c r="I2583" s="51"/>
      <c r="J2583" s="51"/>
      <c r="K2583" s="51"/>
      <c r="L2583" s="40">
        <v>20</v>
      </c>
      <c r="M2583" s="40">
        <v>20</v>
      </c>
      <c r="N2583" s="40">
        <v>20</v>
      </c>
      <c r="O2583" s="40">
        <v>19</v>
      </c>
      <c r="P2583" s="40">
        <v>19</v>
      </c>
      <c r="Q2583" s="39"/>
      <c r="R2583" s="39"/>
      <c r="S2583" s="39"/>
      <c r="T2583" s="48"/>
      <c r="U2583" s="48"/>
      <c r="V2583" s="48"/>
      <c r="W2583" s="48"/>
      <c r="X2583" s="48"/>
      <c r="Y2583" s="48"/>
      <c r="Z2583" s="48"/>
      <c r="AA2583" s="48"/>
      <c r="AB2583" s="48"/>
      <c r="AC2583" s="48"/>
      <c r="AD2583" s="48"/>
      <c r="AE2583" s="48"/>
      <c r="AF2583" s="48"/>
      <c r="AG2583" s="48"/>
      <c r="AH2583" s="48"/>
      <c r="AI2583" s="48"/>
      <c r="AJ2583" s="48"/>
      <c r="AK2583" s="48"/>
      <c r="AL2583" s="48"/>
      <c r="AM2583" s="48"/>
      <c r="AN2583" s="48"/>
      <c r="AO2583" s="48"/>
      <c r="AP2583" s="48"/>
      <c r="AQ2583" s="48"/>
      <c r="AR2583" s="48"/>
      <c r="AS2583" s="48"/>
      <c r="AT2583" s="48"/>
      <c r="AU2583" s="48"/>
      <c r="AV2583" s="48"/>
    </row>
    <row r="2584" spans="1:48" s="27" customFormat="1" ht="17.25" customHeight="1">
      <c r="A2584" s="12"/>
      <c r="B2584" s="97" t="s">
        <v>566</v>
      </c>
      <c r="C2584" s="15" t="s">
        <v>567</v>
      </c>
      <c r="D2584" s="51"/>
      <c r="E2584" s="51"/>
      <c r="F2584" s="51"/>
      <c r="G2584" s="51"/>
      <c r="H2584" s="51"/>
      <c r="I2584" s="51"/>
      <c r="J2584" s="51"/>
      <c r="K2584" s="51"/>
      <c r="L2584" s="40">
        <v>3</v>
      </c>
      <c r="M2584" s="40">
        <v>1</v>
      </c>
      <c r="N2584" s="40">
        <v>2</v>
      </c>
      <c r="O2584" s="40">
        <v>2</v>
      </c>
      <c r="P2584" s="40">
        <v>2</v>
      </c>
      <c r="Q2584" s="39"/>
      <c r="R2584" s="39"/>
      <c r="S2584" s="39"/>
      <c r="T2584" s="48"/>
      <c r="U2584" s="48"/>
      <c r="V2584" s="48"/>
      <c r="W2584" s="48"/>
      <c r="X2584" s="48"/>
      <c r="Y2584" s="48"/>
      <c r="Z2584" s="48"/>
      <c r="AA2584" s="48"/>
      <c r="AB2584" s="48"/>
      <c r="AC2584" s="48"/>
      <c r="AD2584" s="48"/>
      <c r="AE2584" s="48"/>
      <c r="AF2584" s="48"/>
      <c r="AG2584" s="48"/>
      <c r="AH2584" s="48"/>
      <c r="AI2584" s="48"/>
      <c r="AJ2584" s="48"/>
      <c r="AK2584" s="48"/>
      <c r="AL2584" s="48"/>
      <c r="AM2584" s="48"/>
      <c r="AN2584" s="48"/>
      <c r="AO2584" s="48"/>
      <c r="AP2584" s="48"/>
      <c r="AQ2584" s="48"/>
      <c r="AR2584" s="48"/>
      <c r="AS2584" s="48"/>
      <c r="AT2584" s="48"/>
      <c r="AU2584" s="48"/>
      <c r="AV2584" s="48"/>
    </row>
    <row r="2585" spans="1:48" s="27" customFormat="1" ht="17.25" customHeight="1">
      <c r="A2585" s="12"/>
      <c r="B2585" s="97" t="s">
        <v>115</v>
      </c>
      <c r="C2585" s="29" t="s">
        <v>116</v>
      </c>
      <c r="D2585" s="51"/>
      <c r="E2585" s="51"/>
      <c r="F2585" s="51"/>
      <c r="G2585" s="51"/>
      <c r="H2585" s="51"/>
      <c r="I2585" s="51"/>
      <c r="J2585" s="51"/>
      <c r="K2585" s="51"/>
      <c r="L2585" s="40">
        <v>6</v>
      </c>
      <c r="M2585" s="40">
        <v>6</v>
      </c>
      <c r="N2585" s="40">
        <v>6</v>
      </c>
      <c r="O2585" s="40">
        <v>6</v>
      </c>
      <c r="P2585" s="40">
        <v>6</v>
      </c>
      <c r="Q2585" s="39"/>
      <c r="R2585" s="39"/>
      <c r="S2585" s="39"/>
      <c r="T2585" s="48"/>
      <c r="U2585" s="48"/>
      <c r="V2585" s="48"/>
      <c r="W2585" s="48"/>
      <c r="X2585" s="48"/>
      <c r="Y2585" s="48"/>
      <c r="Z2585" s="48"/>
      <c r="AA2585" s="48"/>
      <c r="AB2585" s="48"/>
      <c r="AC2585" s="48"/>
      <c r="AD2585" s="48"/>
      <c r="AE2585" s="48"/>
      <c r="AF2585" s="48"/>
      <c r="AG2585" s="48"/>
      <c r="AH2585" s="48"/>
      <c r="AI2585" s="48"/>
      <c r="AJ2585" s="48"/>
      <c r="AK2585" s="48"/>
      <c r="AL2585" s="48"/>
      <c r="AM2585" s="48"/>
      <c r="AN2585" s="48"/>
      <c r="AO2585" s="48"/>
      <c r="AP2585" s="48"/>
      <c r="AQ2585" s="48"/>
      <c r="AR2585" s="48"/>
      <c r="AS2585" s="48"/>
      <c r="AT2585" s="48"/>
      <c r="AU2585" s="48"/>
      <c r="AV2585" s="48"/>
    </row>
    <row r="2586" spans="2:16" ht="17.25" customHeight="1">
      <c r="B2586" s="97" t="s">
        <v>403</v>
      </c>
      <c r="C2586" s="29" t="s">
        <v>404</v>
      </c>
      <c r="L2586" s="40">
        <v>22</v>
      </c>
      <c r="M2586" s="40">
        <v>18</v>
      </c>
      <c r="N2586" s="40">
        <v>19</v>
      </c>
      <c r="O2586" s="40">
        <v>18</v>
      </c>
      <c r="P2586" s="40">
        <v>17</v>
      </c>
    </row>
    <row r="2587" spans="1:188" s="57" customFormat="1" ht="16.5" customHeight="1">
      <c r="A2587" s="13">
        <v>4</v>
      </c>
      <c r="B2587" s="92" t="s">
        <v>293</v>
      </c>
      <c r="C2587" s="45"/>
      <c r="D2587" s="44"/>
      <c r="E2587" s="44"/>
      <c r="F2587" s="44"/>
      <c r="G2587" s="44"/>
      <c r="H2587" s="44"/>
      <c r="I2587" s="44"/>
      <c r="J2587" s="44"/>
      <c r="K2587" s="44"/>
      <c r="L2587" s="44">
        <f>L2588+L2592</f>
        <v>94</v>
      </c>
      <c r="M2587" s="44">
        <f>M2588+M2592</f>
        <v>94</v>
      </c>
      <c r="N2587" s="44">
        <f>N2588+N2592</f>
        <v>98</v>
      </c>
      <c r="O2587" s="44">
        <f>O2588+O2592</f>
        <v>98</v>
      </c>
      <c r="P2587" s="44">
        <f>P2588+P2592</f>
        <v>98</v>
      </c>
      <c r="Q2587" s="123">
        <f>Q2588</f>
        <v>0</v>
      </c>
      <c r="R2587" s="44">
        <f>R2588</f>
        <v>0</v>
      </c>
      <c r="S2587" s="44">
        <f>S2588</f>
        <v>0</v>
      </c>
      <c r="T2587" s="56"/>
      <c r="U2587" s="56"/>
      <c r="V2587" s="56"/>
      <c r="W2587" s="56"/>
      <c r="X2587" s="56"/>
      <c r="Y2587" s="56"/>
      <c r="Z2587" s="56"/>
      <c r="AA2587" s="56"/>
      <c r="AB2587" s="56"/>
      <c r="AC2587" s="56"/>
      <c r="AD2587" s="56"/>
      <c r="AE2587" s="56"/>
      <c r="AF2587" s="56"/>
      <c r="AG2587" s="56"/>
      <c r="AH2587" s="56"/>
      <c r="AI2587" s="56"/>
      <c r="AJ2587" s="56"/>
      <c r="AK2587" s="56"/>
      <c r="AL2587" s="56"/>
      <c r="AM2587" s="56"/>
      <c r="AN2587" s="56"/>
      <c r="AO2587" s="56"/>
      <c r="AP2587" s="56"/>
      <c r="AQ2587" s="56"/>
      <c r="AR2587" s="56"/>
      <c r="AS2587" s="56"/>
      <c r="AT2587" s="56"/>
      <c r="AU2587" s="56"/>
      <c r="AV2587" s="56"/>
      <c r="AW2587" s="56"/>
      <c r="AX2587" s="56"/>
      <c r="AY2587" s="56"/>
      <c r="AZ2587" s="56"/>
      <c r="BA2587" s="56"/>
      <c r="BB2587" s="56"/>
      <c r="BC2587" s="56"/>
      <c r="BD2587" s="56"/>
      <c r="BE2587" s="56"/>
      <c r="BF2587" s="56"/>
      <c r="BG2587" s="56"/>
      <c r="BH2587" s="56"/>
      <c r="BI2587" s="56"/>
      <c r="BJ2587" s="56"/>
      <c r="BK2587" s="56"/>
      <c r="BL2587" s="56"/>
      <c r="BM2587" s="56"/>
      <c r="BN2587" s="56"/>
      <c r="BO2587" s="56"/>
      <c r="BP2587" s="56"/>
      <c r="BQ2587" s="56"/>
      <c r="BR2587" s="56"/>
      <c r="BS2587" s="56"/>
      <c r="BT2587" s="56"/>
      <c r="BU2587" s="56"/>
      <c r="BV2587" s="56"/>
      <c r="BW2587" s="56"/>
      <c r="BX2587" s="56"/>
      <c r="BY2587" s="56"/>
      <c r="BZ2587" s="56"/>
      <c r="CA2587" s="56"/>
      <c r="CB2587" s="56"/>
      <c r="CC2587" s="56"/>
      <c r="CD2587" s="56"/>
      <c r="CE2587" s="56"/>
      <c r="CF2587" s="56"/>
      <c r="CG2587" s="56"/>
      <c r="CH2587" s="56"/>
      <c r="CI2587" s="56"/>
      <c r="CJ2587" s="56"/>
      <c r="CK2587" s="56"/>
      <c r="CL2587" s="56"/>
      <c r="CM2587" s="56"/>
      <c r="CN2587" s="56"/>
      <c r="CO2587" s="56"/>
      <c r="CP2587" s="56"/>
      <c r="CQ2587" s="56"/>
      <c r="CR2587" s="56"/>
      <c r="CS2587" s="56"/>
      <c r="CT2587" s="56"/>
      <c r="CU2587" s="56"/>
      <c r="CV2587" s="56"/>
      <c r="CW2587" s="56"/>
      <c r="CX2587" s="56"/>
      <c r="CY2587" s="56"/>
      <c r="CZ2587" s="56"/>
      <c r="DA2587" s="56"/>
      <c r="DB2587" s="56"/>
      <c r="DC2587" s="56"/>
      <c r="DD2587" s="56"/>
      <c r="DE2587" s="56"/>
      <c r="DF2587" s="56"/>
      <c r="DG2587" s="56"/>
      <c r="DH2587" s="56"/>
      <c r="DI2587" s="56"/>
      <c r="DJ2587" s="56"/>
      <c r="DK2587" s="56"/>
      <c r="DL2587" s="56"/>
      <c r="DM2587" s="56"/>
      <c r="DN2587" s="56"/>
      <c r="DO2587" s="56"/>
      <c r="DP2587" s="56"/>
      <c r="DQ2587" s="56"/>
      <c r="DR2587" s="56"/>
      <c r="DS2587" s="56"/>
      <c r="DT2587" s="56"/>
      <c r="DU2587" s="56"/>
      <c r="DV2587" s="56"/>
      <c r="DW2587" s="56"/>
      <c r="DX2587" s="56"/>
      <c r="DY2587" s="56"/>
      <c r="DZ2587" s="56"/>
      <c r="EA2587" s="56"/>
      <c r="EB2587" s="56"/>
      <c r="EC2587" s="56"/>
      <c r="ED2587" s="56"/>
      <c r="EE2587" s="56"/>
      <c r="EF2587" s="56"/>
      <c r="EG2587" s="56"/>
      <c r="EH2587" s="56"/>
      <c r="EI2587" s="56"/>
      <c r="EJ2587" s="56"/>
      <c r="EK2587" s="56"/>
      <c r="EL2587" s="56"/>
      <c r="EM2587" s="56"/>
      <c r="EN2587" s="56"/>
      <c r="EO2587" s="56"/>
      <c r="EP2587" s="56"/>
      <c r="EQ2587" s="56"/>
      <c r="ER2587" s="56"/>
      <c r="ES2587" s="56"/>
      <c r="ET2587" s="56"/>
      <c r="EU2587" s="56"/>
      <c r="EV2587" s="56"/>
      <c r="EW2587" s="56"/>
      <c r="EX2587" s="56"/>
      <c r="EY2587" s="56"/>
      <c r="EZ2587" s="56"/>
      <c r="FA2587" s="56"/>
      <c r="FB2587" s="56"/>
      <c r="FC2587" s="56"/>
      <c r="FD2587" s="56"/>
      <c r="FE2587" s="56"/>
      <c r="FF2587" s="56"/>
      <c r="FG2587" s="56"/>
      <c r="FH2587" s="56"/>
      <c r="FI2587" s="56"/>
      <c r="FJ2587" s="56"/>
      <c r="FK2587" s="56"/>
      <c r="FL2587" s="56"/>
      <c r="FM2587" s="56"/>
      <c r="FN2587" s="56"/>
      <c r="FO2587" s="56"/>
      <c r="FP2587" s="56"/>
      <c r="FQ2587" s="56"/>
      <c r="FR2587" s="56"/>
      <c r="FS2587" s="56"/>
      <c r="FT2587" s="56"/>
      <c r="FU2587" s="56"/>
      <c r="FV2587" s="56"/>
      <c r="FW2587" s="56"/>
      <c r="FX2587" s="56"/>
      <c r="FY2587" s="56"/>
      <c r="FZ2587" s="56"/>
      <c r="GA2587" s="56"/>
      <c r="GB2587" s="56"/>
      <c r="GC2587" s="56"/>
      <c r="GD2587" s="56"/>
      <c r="GE2587" s="56"/>
      <c r="GF2587" s="56"/>
    </row>
    <row r="2588" spans="1:48" s="18" customFormat="1" ht="17.25" customHeight="1">
      <c r="A2588" s="50"/>
      <c r="B2588" s="104" t="s">
        <v>669</v>
      </c>
      <c r="C2588" s="16"/>
      <c r="D2588" s="52"/>
      <c r="E2588" s="52"/>
      <c r="F2588" s="52"/>
      <c r="G2588" s="52"/>
      <c r="H2588" s="52"/>
      <c r="I2588" s="52"/>
      <c r="J2588" s="52"/>
      <c r="K2588" s="52"/>
      <c r="L2588" s="60">
        <f>SUM(L2589:L2591)</f>
        <v>69</v>
      </c>
      <c r="M2588" s="60">
        <f>SUM(M2589:M2591)</f>
        <v>69</v>
      </c>
      <c r="N2588" s="60">
        <f>SUM(N2589:N2591)</f>
        <v>73</v>
      </c>
      <c r="O2588" s="60">
        <f>SUM(O2589:O2591)</f>
        <v>73</v>
      </c>
      <c r="P2588" s="60">
        <f>SUM(P2589:P2591)</f>
        <v>73</v>
      </c>
      <c r="Q2588" s="23"/>
      <c r="R2588" s="23"/>
      <c r="S2588" s="17"/>
      <c r="T2588" s="47"/>
      <c r="U2588" s="47"/>
      <c r="V2588" s="47"/>
      <c r="W2588" s="47"/>
      <c r="X2588" s="47"/>
      <c r="Y2588" s="47"/>
      <c r="Z2588" s="47"/>
      <c r="AA2588" s="47"/>
      <c r="AB2588" s="47"/>
      <c r="AC2588" s="47"/>
      <c r="AD2588" s="47"/>
      <c r="AE2588" s="47"/>
      <c r="AF2588" s="47"/>
      <c r="AG2588" s="47"/>
      <c r="AH2588" s="47"/>
      <c r="AI2588" s="47"/>
      <c r="AJ2588" s="47"/>
      <c r="AK2588" s="47"/>
      <c r="AL2588" s="47"/>
      <c r="AM2588" s="47"/>
      <c r="AN2588" s="47"/>
      <c r="AO2588" s="47"/>
      <c r="AP2588" s="47"/>
      <c r="AQ2588" s="47"/>
      <c r="AR2588" s="47"/>
      <c r="AS2588" s="47"/>
      <c r="AT2588" s="47"/>
      <c r="AU2588" s="47"/>
      <c r="AV2588" s="47"/>
    </row>
    <row r="2589" spans="1:48" s="27" customFormat="1" ht="17.25" customHeight="1">
      <c r="A2589" s="12"/>
      <c r="B2589" s="105" t="s">
        <v>790</v>
      </c>
      <c r="C2589" s="15" t="s">
        <v>791</v>
      </c>
      <c r="D2589" s="51"/>
      <c r="E2589" s="51"/>
      <c r="F2589" s="51"/>
      <c r="G2589" s="51"/>
      <c r="H2589" s="51"/>
      <c r="I2589" s="51"/>
      <c r="J2589" s="51"/>
      <c r="K2589" s="51"/>
      <c r="L2589" s="40">
        <v>19</v>
      </c>
      <c r="M2589" s="40">
        <v>19</v>
      </c>
      <c r="N2589" s="40">
        <v>23</v>
      </c>
      <c r="O2589" s="40">
        <v>23</v>
      </c>
      <c r="P2589" s="40">
        <v>23</v>
      </c>
      <c r="Q2589" s="39"/>
      <c r="R2589" s="39"/>
      <c r="S2589" s="39"/>
      <c r="T2589" s="48"/>
      <c r="U2589" s="48"/>
      <c r="V2589" s="48"/>
      <c r="W2589" s="48"/>
      <c r="X2589" s="48"/>
      <c r="Y2589" s="48"/>
      <c r="Z2589" s="48"/>
      <c r="AA2589" s="48"/>
      <c r="AB2589" s="48"/>
      <c r="AC2589" s="48"/>
      <c r="AD2589" s="48"/>
      <c r="AE2589" s="48"/>
      <c r="AF2589" s="48"/>
      <c r="AG2589" s="48"/>
      <c r="AH2589" s="48"/>
      <c r="AI2589" s="48"/>
      <c r="AJ2589" s="48"/>
      <c r="AK2589" s="48"/>
      <c r="AL2589" s="48"/>
      <c r="AM2589" s="48"/>
      <c r="AN2589" s="48"/>
      <c r="AO2589" s="48"/>
      <c r="AP2589" s="48"/>
      <c r="AQ2589" s="48"/>
      <c r="AR2589" s="48"/>
      <c r="AS2589" s="48"/>
      <c r="AT2589" s="48"/>
      <c r="AU2589" s="48"/>
      <c r="AV2589" s="48"/>
    </row>
    <row r="2590" spans="1:48" s="27" customFormat="1" ht="17.25" customHeight="1">
      <c r="A2590" s="12"/>
      <c r="B2590" s="97" t="s">
        <v>930</v>
      </c>
      <c r="C2590" s="29" t="s">
        <v>931</v>
      </c>
      <c r="D2590" s="51"/>
      <c r="E2590" s="51"/>
      <c r="F2590" s="51"/>
      <c r="G2590" s="51"/>
      <c r="H2590" s="51"/>
      <c r="I2590" s="51"/>
      <c r="J2590" s="51"/>
      <c r="K2590" s="51"/>
      <c r="L2590" s="40">
        <v>25</v>
      </c>
      <c r="M2590" s="40">
        <v>25</v>
      </c>
      <c r="N2590" s="40">
        <v>25</v>
      </c>
      <c r="O2590" s="40">
        <v>25</v>
      </c>
      <c r="P2590" s="40">
        <v>25</v>
      </c>
      <c r="Q2590" s="39"/>
      <c r="R2590" s="39"/>
      <c r="S2590" s="39"/>
      <c r="T2590" s="48"/>
      <c r="U2590" s="48"/>
      <c r="V2590" s="48"/>
      <c r="W2590" s="48"/>
      <c r="X2590" s="48"/>
      <c r="Y2590" s="48"/>
      <c r="Z2590" s="48"/>
      <c r="AA2590" s="48"/>
      <c r="AB2590" s="48"/>
      <c r="AC2590" s="48"/>
      <c r="AD2590" s="48"/>
      <c r="AE2590" s="48"/>
      <c r="AF2590" s="48"/>
      <c r="AG2590" s="48"/>
      <c r="AH2590" s="48"/>
      <c r="AI2590" s="48"/>
      <c r="AJ2590" s="48"/>
      <c r="AK2590" s="48"/>
      <c r="AL2590" s="48"/>
      <c r="AM2590" s="48"/>
      <c r="AN2590" s="48"/>
      <c r="AO2590" s="48"/>
      <c r="AP2590" s="48"/>
      <c r="AQ2590" s="48"/>
      <c r="AR2590" s="48"/>
      <c r="AS2590" s="48"/>
      <c r="AT2590" s="48"/>
      <c r="AU2590" s="48"/>
      <c r="AV2590" s="48"/>
    </row>
    <row r="2591" spans="1:48" s="27" customFormat="1" ht="17.25" customHeight="1">
      <c r="A2591" s="12"/>
      <c r="B2591" s="97" t="s">
        <v>599</v>
      </c>
      <c r="C2591" s="15" t="s">
        <v>600</v>
      </c>
      <c r="D2591" s="51"/>
      <c r="E2591" s="51"/>
      <c r="F2591" s="51"/>
      <c r="G2591" s="51"/>
      <c r="H2591" s="51"/>
      <c r="I2591" s="51"/>
      <c r="J2591" s="51"/>
      <c r="K2591" s="51"/>
      <c r="L2591" s="40">
        <v>25</v>
      </c>
      <c r="M2591" s="40">
        <v>25</v>
      </c>
      <c r="N2591" s="40">
        <v>25</v>
      </c>
      <c r="O2591" s="40">
        <v>25</v>
      </c>
      <c r="P2591" s="40">
        <v>25</v>
      </c>
      <c r="Q2591" s="39"/>
      <c r="R2591" s="39"/>
      <c r="S2591" s="39"/>
      <c r="T2591" s="48"/>
      <c r="U2591" s="48"/>
      <c r="V2591" s="48"/>
      <c r="W2591" s="48"/>
      <c r="X2591" s="48"/>
      <c r="Y2591" s="48"/>
      <c r="Z2591" s="48"/>
      <c r="AA2591" s="48"/>
      <c r="AB2591" s="48"/>
      <c r="AC2591" s="48"/>
      <c r="AD2591" s="48"/>
      <c r="AE2591" s="48"/>
      <c r="AF2591" s="48"/>
      <c r="AG2591" s="48"/>
      <c r="AH2591" s="48"/>
      <c r="AI2591" s="48"/>
      <c r="AJ2591" s="48"/>
      <c r="AK2591" s="48"/>
      <c r="AL2591" s="48"/>
      <c r="AM2591" s="48"/>
      <c r="AN2591" s="48"/>
      <c r="AO2591" s="48"/>
      <c r="AP2591" s="48"/>
      <c r="AQ2591" s="48"/>
      <c r="AR2591" s="48"/>
      <c r="AS2591" s="48"/>
      <c r="AT2591" s="48"/>
      <c r="AU2591" s="48"/>
      <c r="AV2591" s="48"/>
    </row>
    <row r="2592" spans="1:48" s="27" customFormat="1" ht="17.25" customHeight="1">
      <c r="A2592" s="12"/>
      <c r="B2592" s="93" t="s">
        <v>670</v>
      </c>
      <c r="C2592" s="29"/>
      <c r="D2592" s="51"/>
      <c r="E2592" s="51"/>
      <c r="F2592" s="51"/>
      <c r="G2592" s="51"/>
      <c r="H2592" s="51"/>
      <c r="I2592" s="51"/>
      <c r="J2592" s="51"/>
      <c r="K2592" s="51"/>
      <c r="L2592" s="60">
        <f>L2593</f>
        <v>25</v>
      </c>
      <c r="M2592" s="60">
        <f>M2593</f>
        <v>25</v>
      </c>
      <c r="N2592" s="60">
        <f>N2593</f>
        <v>25</v>
      </c>
      <c r="O2592" s="60">
        <f>O2593</f>
        <v>25</v>
      </c>
      <c r="P2592" s="60">
        <f>P2593</f>
        <v>25</v>
      </c>
      <c r="Q2592" s="39"/>
      <c r="R2592" s="39"/>
      <c r="S2592" s="39"/>
      <c r="T2592" s="48"/>
      <c r="U2592" s="48"/>
      <c r="V2592" s="48"/>
      <c r="W2592" s="48"/>
      <c r="X2592" s="48"/>
      <c r="Y2592" s="48"/>
      <c r="Z2592" s="48"/>
      <c r="AA2592" s="48"/>
      <c r="AB2592" s="48"/>
      <c r="AC2592" s="48"/>
      <c r="AD2592" s="48"/>
      <c r="AE2592" s="48"/>
      <c r="AF2592" s="48"/>
      <c r="AG2592" s="48"/>
      <c r="AH2592" s="48"/>
      <c r="AI2592" s="48"/>
      <c r="AJ2592" s="48"/>
      <c r="AK2592" s="48"/>
      <c r="AL2592" s="48"/>
      <c r="AM2592" s="48"/>
      <c r="AN2592" s="48"/>
      <c r="AO2592" s="48"/>
      <c r="AP2592" s="48"/>
      <c r="AQ2592" s="48"/>
      <c r="AR2592" s="48"/>
      <c r="AS2592" s="48"/>
      <c r="AT2592" s="48"/>
      <c r="AU2592" s="48"/>
      <c r="AV2592" s="48"/>
    </row>
    <row r="2593" spans="1:48" s="27" customFormat="1" ht="32.25" customHeight="1">
      <c r="A2593" s="12"/>
      <c r="B2593" s="97" t="s">
        <v>137</v>
      </c>
      <c r="C2593" s="15" t="s">
        <v>138</v>
      </c>
      <c r="D2593" s="51"/>
      <c r="E2593" s="51"/>
      <c r="F2593" s="51"/>
      <c r="G2593" s="51"/>
      <c r="H2593" s="51"/>
      <c r="I2593" s="51"/>
      <c r="J2593" s="51"/>
      <c r="K2593" s="51"/>
      <c r="L2593" s="40">
        <v>25</v>
      </c>
      <c r="M2593" s="40">
        <v>25</v>
      </c>
      <c r="N2593" s="40">
        <v>25</v>
      </c>
      <c r="O2593" s="40">
        <v>25</v>
      </c>
      <c r="P2593" s="40">
        <v>25</v>
      </c>
      <c r="Q2593" s="39"/>
      <c r="R2593" s="39"/>
      <c r="S2593" s="39"/>
      <c r="T2593" s="48"/>
      <c r="U2593" s="48"/>
      <c r="V2593" s="48"/>
      <c r="W2593" s="48"/>
      <c r="X2593" s="48"/>
      <c r="Y2593" s="48"/>
      <c r="Z2593" s="48"/>
      <c r="AA2593" s="48"/>
      <c r="AB2593" s="48"/>
      <c r="AC2593" s="48"/>
      <c r="AD2593" s="48"/>
      <c r="AE2593" s="48"/>
      <c r="AF2593" s="48"/>
      <c r="AG2593" s="48"/>
      <c r="AH2593" s="48"/>
      <c r="AI2593" s="48"/>
      <c r="AJ2593" s="48"/>
      <c r="AK2593" s="48"/>
      <c r="AL2593" s="48"/>
      <c r="AM2593" s="48"/>
      <c r="AN2593" s="48"/>
      <c r="AO2593" s="48"/>
      <c r="AP2593" s="48"/>
      <c r="AQ2593" s="48"/>
      <c r="AR2593" s="48"/>
      <c r="AS2593" s="48"/>
      <c r="AT2593" s="48"/>
      <c r="AU2593" s="48"/>
      <c r="AV2593" s="48"/>
    </row>
    <row r="2594" spans="1:188" s="57" customFormat="1" ht="16.5" customHeight="1">
      <c r="A2594" s="13">
        <v>4</v>
      </c>
      <c r="B2594" s="92" t="s">
        <v>400</v>
      </c>
      <c r="C2594" s="45"/>
      <c r="D2594" s="44"/>
      <c r="E2594" s="44"/>
      <c r="F2594" s="44"/>
      <c r="G2594" s="44"/>
      <c r="H2594" s="44"/>
      <c r="I2594" s="44"/>
      <c r="J2594" s="44"/>
      <c r="K2594" s="44"/>
      <c r="L2594" s="44">
        <f aca="true" t="shared" si="81" ref="L2594:S2595">L2595</f>
        <v>64</v>
      </c>
      <c r="M2594" s="44">
        <f t="shared" si="81"/>
        <v>61</v>
      </c>
      <c r="N2594" s="44">
        <f t="shared" si="81"/>
        <v>55</v>
      </c>
      <c r="O2594" s="44">
        <f t="shared" si="81"/>
        <v>55</v>
      </c>
      <c r="P2594" s="44">
        <f t="shared" si="81"/>
        <v>55</v>
      </c>
      <c r="Q2594" s="123">
        <f t="shared" si="81"/>
        <v>0</v>
      </c>
      <c r="R2594" s="44">
        <f t="shared" si="81"/>
        <v>0</v>
      </c>
      <c r="S2594" s="44">
        <f t="shared" si="81"/>
        <v>0</v>
      </c>
      <c r="T2594" s="56"/>
      <c r="U2594" s="56"/>
      <c r="V2594" s="56"/>
      <c r="W2594" s="56"/>
      <c r="X2594" s="56"/>
      <c r="Y2594" s="56"/>
      <c r="Z2594" s="56"/>
      <c r="AA2594" s="56"/>
      <c r="AB2594" s="56"/>
      <c r="AC2594" s="56"/>
      <c r="AD2594" s="56"/>
      <c r="AE2594" s="56"/>
      <c r="AF2594" s="56"/>
      <c r="AG2594" s="56"/>
      <c r="AH2594" s="56"/>
      <c r="AI2594" s="56"/>
      <c r="AJ2594" s="56"/>
      <c r="AK2594" s="56"/>
      <c r="AL2594" s="56"/>
      <c r="AM2594" s="56"/>
      <c r="AN2594" s="56"/>
      <c r="AO2594" s="56"/>
      <c r="AP2594" s="56"/>
      <c r="AQ2594" s="56"/>
      <c r="AR2594" s="56"/>
      <c r="AS2594" s="56"/>
      <c r="AT2594" s="56"/>
      <c r="AU2594" s="56"/>
      <c r="AV2594" s="56"/>
      <c r="AW2594" s="56"/>
      <c r="AX2594" s="56"/>
      <c r="AY2594" s="56"/>
      <c r="AZ2594" s="56"/>
      <c r="BA2594" s="56"/>
      <c r="BB2594" s="56"/>
      <c r="BC2594" s="56"/>
      <c r="BD2594" s="56"/>
      <c r="BE2594" s="56"/>
      <c r="BF2594" s="56"/>
      <c r="BG2594" s="56"/>
      <c r="BH2594" s="56"/>
      <c r="BI2594" s="56"/>
      <c r="BJ2594" s="56"/>
      <c r="BK2594" s="56"/>
      <c r="BL2594" s="56"/>
      <c r="BM2594" s="56"/>
      <c r="BN2594" s="56"/>
      <c r="BO2594" s="56"/>
      <c r="BP2594" s="56"/>
      <c r="BQ2594" s="56"/>
      <c r="BR2594" s="56"/>
      <c r="BS2594" s="56"/>
      <c r="BT2594" s="56"/>
      <c r="BU2594" s="56"/>
      <c r="BV2594" s="56"/>
      <c r="BW2594" s="56"/>
      <c r="BX2594" s="56"/>
      <c r="BY2594" s="56"/>
      <c r="BZ2594" s="56"/>
      <c r="CA2594" s="56"/>
      <c r="CB2594" s="56"/>
      <c r="CC2594" s="56"/>
      <c r="CD2594" s="56"/>
      <c r="CE2594" s="56"/>
      <c r="CF2594" s="56"/>
      <c r="CG2594" s="56"/>
      <c r="CH2594" s="56"/>
      <c r="CI2594" s="56"/>
      <c r="CJ2594" s="56"/>
      <c r="CK2594" s="56"/>
      <c r="CL2594" s="56"/>
      <c r="CM2594" s="56"/>
      <c r="CN2594" s="56"/>
      <c r="CO2594" s="56"/>
      <c r="CP2594" s="56"/>
      <c r="CQ2594" s="56"/>
      <c r="CR2594" s="56"/>
      <c r="CS2594" s="56"/>
      <c r="CT2594" s="56"/>
      <c r="CU2594" s="56"/>
      <c r="CV2594" s="56"/>
      <c r="CW2594" s="56"/>
      <c r="CX2594" s="56"/>
      <c r="CY2594" s="56"/>
      <c r="CZ2594" s="56"/>
      <c r="DA2594" s="56"/>
      <c r="DB2594" s="56"/>
      <c r="DC2594" s="56"/>
      <c r="DD2594" s="56"/>
      <c r="DE2594" s="56"/>
      <c r="DF2594" s="56"/>
      <c r="DG2594" s="56"/>
      <c r="DH2594" s="56"/>
      <c r="DI2594" s="56"/>
      <c r="DJ2594" s="56"/>
      <c r="DK2594" s="56"/>
      <c r="DL2594" s="56"/>
      <c r="DM2594" s="56"/>
      <c r="DN2594" s="56"/>
      <c r="DO2594" s="56"/>
      <c r="DP2594" s="56"/>
      <c r="DQ2594" s="56"/>
      <c r="DR2594" s="56"/>
      <c r="DS2594" s="56"/>
      <c r="DT2594" s="56"/>
      <c r="DU2594" s="56"/>
      <c r="DV2594" s="56"/>
      <c r="DW2594" s="56"/>
      <c r="DX2594" s="56"/>
      <c r="DY2594" s="56"/>
      <c r="DZ2594" s="56"/>
      <c r="EA2594" s="56"/>
      <c r="EB2594" s="56"/>
      <c r="EC2594" s="56"/>
      <c r="ED2594" s="56"/>
      <c r="EE2594" s="56"/>
      <c r="EF2594" s="56"/>
      <c r="EG2594" s="56"/>
      <c r="EH2594" s="56"/>
      <c r="EI2594" s="56"/>
      <c r="EJ2594" s="56"/>
      <c r="EK2594" s="56"/>
      <c r="EL2594" s="56"/>
      <c r="EM2594" s="56"/>
      <c r="EN2594" s="56"/>
      <c r="EO2594" s="56"/>
      <c r="EP2594" s="56"/>
      <c r="EQ2594" s="56"/>
      <c r="ER2594" s="56"/>
      <c r="ES2594" s="56"/>
      <c r="ET2594" s="56"/>
      <c r="EU2594" s="56"/>
      <c r="EV2594" s="56"/>
      <c r="EW2594" s="56"/>
      <c r="EX2594" s="56"/>
      <c r="EY2594" s="56"/>
      <c r="EZ2594" s="56"/>
      <c r="FA2594" s="56"/>
      <c r="FB2594" s="56"/>
      <c r="FC2594" s="56"/>
      <c r="FD2594" s="56"/>
      <c r="FE2594" s="56"/>
      <c r="FF2594" s="56"/>
      <c r="FG2594" s="56"/>
      <c r="FH2594" s="56"/>
      <c r="FI2594" s="56"/>
      <c r="FJ2594" s="56"/>
      <c r="FK2594" s="56"/>
      <c r="FL2594" s="56"/>
      <c r="FM2594" s="56"/>
      <c r="FN2594" s="56"/>
      <c r="FO2594" s="56"/>
      <c r="FP2594" s="56"/>
      <c r="FQ2594" s="56"/>
      <c r="FR2594" s="56"/>
      <c r="FS2594" s="56"/>
      <c r="FT2594" s="56"/>
      <c r="FU2594" s="56"/>
      <c r="FV2594" s="56"/>
      <c r="FW2594" s="56"/>
      <c r="FX2594" s="56"/>
      <c r="FY2594" s="56"/>
      <c r="FZ2594" s="56"/>
      <c r="GA2594" s="56"/>
      <c r="GB2594" s="56"/>
      <c r="GC2594" s="56"/>
      <c r="GD2594" s="56"/>
      <c r="GE2594" s="56"/>
      <c r="GF2594" s="56"/>
    </row>
    <row r="2595" spans="1:48" s="18" customFormat="1" ht="17.25" customHeight="1">
      <c r="A2595" s="50"/>
      <c r="B2595" s="93" t="s">
        <v>670</v>
      </c>
      <c r="C2595" s="16"/>
      <c r="D2595" s="52"/>
      <c r="E2595" s="52"/>
      <c r="F2595" s="52"/>
      <c r="G2595" s="52"/>
      <c r="H2595" s="52"/>
      <c r="I2595" s="52"/>
      <c r="J2595" s="52"/>
      <c r="K2595" s="52"/>
      <c r="L2595" s="60">
        <f>L2596</f>
        <v>64</v>
      </c>
      <c r="M2595" s="60">
        <f t="shared" si="81"/>
        <v>61</v>
      </c>
      <c r="N2595" s="60">
        <f t="shared" si="81"/>
        <v>55</v>
      </c>
      <c r="O2595" s="60">
        <f t="shared" si="81"/>
        <v>55</v>
      </c>
      <c r="P2595" s="60">
        <f t="shared" si="81"/>
        <v>55</v>
      </c>
      <c r="Q2595" s="23"/>
      <c r="R2595" s="23"/>
      <c r="S2595" s="17"/>
      <c r="T2595" s="47"/>
      <c r="U2595" s="47"/>
      <c r="V2595" s="47"/>
      <c r="W2595" s="47"/>
      <c r="X2595" s="47"/>
      <c r="Y2595" s="47"/>
      <c r="Z2595" s="47"/>
      <c r="AA2595" s="47"/>
      <c r="AB2595" s="47"/>
      <c r="AC2595" s="47"/>
      <c r="AD2595" s="47"/>
      <c r="AE2595" s="47"/>
      <c r="AF2595" s="47"/>
      <c r="AG2595" s="47"/>
      <c r="AH2595" s="47"/>
      <c r="AI2595" s="47"/>
      <c r="AJ2595" s="47"/>
      <c r="AK2595" s="47"/>
      <c r="AL2595" s="47"/>
      <c r="AM2595" s="47"/>
      <c r="AN2595" s="47"/>
      <c r="AO2595" s="47"/>
      <c r="AP2595" s="47"/>
      <c r="AQ2595" s="47"/>
      <c r="AR2595" s="47"/>
      <c r="AS2595" s="47"/>
      <c r="AT2595" s="47"/>
      <c r="AU2595" s="47"/>
      <c r="AV2595" s="47"/>
    </row>
    <row r="2596" spans="1:48" s="27" customFormat="1" ht="17.25" customHeight="1">
      <c r="A2596" s="12"/>
      <c r="B2596" s="97" t="s">
        <v>1287</v>
      </c>
      <c r="C2596" s="29" t="s">
        <v>1288</v>
      </c>
      <c r="D2596" s="51"/>
      <c r="E2596" s="51"/>
      <c r="F2596" s="51"/>
      <c r="G2596" s="51"/>
      <c r="H2596" s="51"/>
      <c r="I2596" s="51"/>
      <c r="J2596" s="51"/>
      <c r="K2596" s="51"/>
      <c r="L2596" s="40">
        <v>64</v>
      </c>
      <c r="M2596" s="40">
        <v>61</v>
      </c>
      <c r="N2596" s="40">
        <v>55</v>
      </c>
      <c r="O2596" s="40">
        <v>55</v>
      </c>
      <c r="P2596" s="40">
        <v>55</v>
      </c>
      <c r="Q2596" s="39"/>
      <c r="R2596" s="39"/>
      <c r="S2596" s="39"/>
      <c r="T2596" s="48"/>
      <c r="U2596" s="48"/>
      <c r="V2596" s="48"/>
      <c r="W2596" s="48"/>
      <c r="X2596" s="48"/>
      <c r="Y2596" s="48"/>
      <c r="Z2596" s="48"/>
      <c r="AA2596" s="48"/>
      <c r="AB2596" s="48"/>
      <c r="AC2596" s="48"/>
      <c r="AD2596" s="48"/>
      <c r="AE2596" s="48"/>
      <c r="AF2596" s="48"/>
      <c r="AG2596" s="48"/>
      <c r="AH2596" s="48"/>
      <c r="AI2596" s="48"/>
      <c r="AJ2596" s="48"/>
      <c r="AK2596" s="48"/>
      <c r="AL2596" s="48"/>
      <c r="AM2596" s="48"/>
      <c r="AN2596" s="48"/>
      <c r="AO2596" s="48"/>
      <c r="AP2596" s="48"/>
      <c r="AQ2596" s="48"/>
      <c r="AR2596" s="48"/>
      <c r="AS2596" s="48"/>
      <c r="AT2596" s="48"/>
      <c r="AU2596" s="48"/>
      <c r="AV2596" s="48"/>
    </row>
    <row r="2597" spans="1:188" s="57" customFormat="1" ht="18" customHeight="1">
      <c r="A2597" s="13">
        <v>5</v>
      </c>
      <c r="B2597" s="92" t="s">
        <v>401</v>
      </c>
      <c r="C2597" s="45"/>
      <c r="D2597" s="44"/>
      <c r="E2597" s="44"/>
      <c r="F2597" s="44"/>
      <c r="G2597" s="44"/>
      <c r="H2597" s="44"/>
      <c r="I2597" s="44"/>
      <c r="J2597" s="44"/>
      <c r="K2597" s="44"/>
      <c r="L2597" s="44">
        <f aca="true" t="shared" si="82" ref="L2597:S2598">L2598</f>
        <v>46</v>
      </c>
      <c r="M2597" s="44">
        <f t="shared" si="82"/>
        <v>50</v>
      </c>
      <c r="N2597" s="44">
        <f t="shared" si="82"/>
        <v>54</v>
      </c>
      <c r="O2597" s="44">
        <f t="shared" si="82"/>
        <v>57</v>
      </c>
      <c r="P2597" s="44">
        <f t="shared" si="82"/>
        <v>57</v>
      </c>
      <c r="Q2597" s="123">
        <f t="shared" si="82"/>
        <v>0</v>
      </c>
      <c r="R2597" s="44">
        <f t="shared" si="82"/>
        <v>0</v>
      </c>
      <c r="S2597" s="44">
        <f t="shared" si="82"/>
        <v>0</v>
      </c>
      <c r="T2597" s="56"/>
      <c r="U2597" s="56"/>
      <c r="V2597" s="56"/>
      <c r="W2597" s="56"/>
      <c r="X2597" s="56"/>
      <c r="Y2597" s="56"/>
      <c r="Z2597" s="56"/>
      <c r="AA2597" s="56"/>
      <c r="AB2597" s="56"/>
      <c r="AC2597" s="56"/>
      <c r="AD2597" s="56"/>
      <c r="AE2597" s="56"/>
      <c r="AF2597" s="56"/>
      <c r="AG2597" s="56"/>
      <c r="AH2597" s="56"/>
      <c r="AI2597" s="56"/>
      <c r="AJ2597" s="56"/>
      <c r="AK2597" s="56"/>
      <c r="AL2597" s="56"/>
      <c r="AM2597" s="56"/>
      <c r="AN2597" s="56"/>
      <c r="AO2597" s="56"/>
      <c r="AP2597" s="56"/>
      <c r="AQ2597" s="56"/>
      <c r="AR2597" s="56"/>
      <c r="AS2597" s="56"/>
      <c r="AT2597" s="56"/>
      <c r="AU2597" s="56"/>
      <c r="AV2597" s="56"/>
      <c r="AW2597" s="56"/>
      <c r="AX2597" s="56"/>
      <c r="AY2597" s="56"/>
      <c r="AZ2597" s="56"/>
      <c r="BA2597" s="56"/>
      <c r="BB2597" s="56"/>
      <c r="BC2597" s="56"/>
      <c r="BD2597" s="56"/>
      <c r="BE2597" s="56"/>
      <c r="BF2597" s="56"/>
      <c r="BG2597" s="56"/>
      <c r="BH2597" s="56"/>
      <c r="BI2597" s="56"/>
      <c r="BJ2597" s="56"/>
      <c r="BK2597" s="56"/>
      <c r="BL2597" s="56"/>
      <c r="BM2597" s="56"/>
      <c r="BN2597" s="56"/>
      <c r="BO2597" s="56"/>
      <c r="BP2597" s="56"/>
      <c r="BQ2597" s="56"/>
      <c r="BR2597" s="56"/>
      <c r="BS2597" s="56"/>
      <c r="BT2597" s="56"/>
      <c r="BU2597" s="56"/>
      <c r="BV2597" s="56"/>
      <c r="BW2597" s="56"/>
      <c r="BX2597" s="56"/>
      <c r="BY2597" s="56"/>
      <c r="BZ2597" s="56"/>
      <c r="CA2597" s="56"/>
      <c r="CB2597" s="56"/>
      <c r="CC2597" s="56"/>
      <c r="CD2597" s="56"/>
      <c r="CE2597" s="56"/>
      <c r="CF2597" s="56"/>
      <c r="CG2597" s="56"/>
      <c r="CH2597" s="56"/>
      <c r="CI2597" s="56"/>
      <c r="CJ2597" s="56"/>
      <c r="CK2597" s="56"/>
      <c r="CL2597" s="56"/>
      <c r="CM2597" s="56"/>
      <c r="CN2597" s="56"/>
      <c r="CO2597" s="56"/>
      <c r="CP2597" s="56"/>
      <c r="CQ2597" s="56"/>
      <c r="CR2597" s="56"/>
      <c r="CS2597" s="56"/>
      <c r="CT2597" s="56"/>
      <c r="CU2597" s="56"/>
      <c r="CV2597" s="56"/>
      <c r="CW2597" s="56"/>
      <c r="CX2597" s="56"/>
      <c r="CY2597" s="56"/>
      <c r="CZ2597" s="56"/>
      <c r="DA2597" s="56"/>
      <c r="DB2597" s="56"/>
      <c r="DC2597" s="56"/>
      <c r="DD2597" s="56"/>
      <c r="DE2597" s="56"/>
      <c r="DF2597" s="56"/>
      <c r="DG2597" s="56"/>
      <c r="DH2597" s="56"/>
      <c r="DI2597" s="56"/>
      <c r="DJ2597" s="56"/>
      <c r="DK2597" s="56"/>
      <c r="DL2597" s="56"/>
      <c r="DM2597" s="56"/>
      <c r="DN2597" s="56"/>
      <c r="DO2597" s="56"/>
      <c r="DP2597" s="56"/>
      <c r="DQ2597" s="56"/>
      <c r="DR2597" s="56"/>
      <c r="DS2597" s="56"/>
      <c r="DT2597" s="56"/>
      <c r="DU2597" s="56"/>
      <c r="DV2597" s="56"/>
      <c r="DW2597" s="56"/>
      <c r="DX2597" s="56"/>
      <c r="DY2597" s="56"/>
      <c r="DZ2597" s="56"/>
      <c r="EA2597" s="56"/>
      <c r="EB2597" s="56"/>
      <c r="EC2597" s="56"/>
      <c r="ED2597" s="56"/>
      <c r="EE2597" s="56"/>
      <c r="EF2597" s="56"/>
      <c r="EG2597" s="56"/>
      <c r="EH2597" s="56"/>
      <c r="EI2597" s="56"/>
      <c r="EJ2597" s="56"/>
      <c r="EK2597" s="56"/>
      <c r="EL2597" s="56"/>
      <c r="EM2597" s="56"/>
      <c r="EN2597" s="56"/>
      <c r="EO2597" s="56"/>
      <c r="EP2597" s="56"/>
      <c r="EQ2597" s="56"/>
      <c r="ER2597" s="56"/>
      <c r="ES2597" s="56"/>
      <c r="ET2597" s="56"/>
      <c r="EU2597" s="56"/>
      <c r="EV2597" s="56"/>
      <c r="EW2597" s="56"/>
      <c r="EX2597" s="56"/>
      <c r="EY2597" s="56"/>
      <c r="EZ2597" s="56"/>
      <c r="FA2597" s="56"/>
      <c r="FB2597" s="56"/>
      <c r="FC2597" s="56"/>
      <c r="FD2597" s="56"/>
      <c r="FE2597" s="56"/>
      <c r="FF2597" s="56"/>
      <c r="FG2597" s="56"/>
      <c r="FH2597" s="56"/>
      <c r="FI2597" s="56"/>
      <c r="FJ2597" s="56"/>
      <c r="FK2597" s="56"/>
      <c r="FL2597" s="56"/>
      <c r="FM2597" s="56"/>
      <c r="FN2597" s="56"/>
      <c r="FO2597" s="56"/>
      <c r="FP2597" s="56"/>
      <c r="FQ2597" s="56"/>
      <c r="FR2597" s="56"/>
      <c r="FS2597" s="56"/>
      <c r="FT2597" s="56"/>
      <c r="FU2597" s="56"/>
      <c r="FV2597" s="56"/>
      <c r="FW2597" s="56"/>
      <c r="FX2597" s="56"/>
      <c r="FY2597" s="56"/>
      <c r="FZ2597" s="56"/>
      <c r="GA2597" s="56"/>
      <c r="GB2597" s="56"/>
      <c r="GC2597" s="56"/>
      <c r="GD2597" s="56"/>
      <c r="GE2597" s="56"/>
      <c r="GF2597" s="56"/>
    </row>
    <row r="2598" spans="1:48" s="18" customFormat="1" ht="17.25" customHeight="1">
      <c r="A2598" s="50"/>
      <c r="B2598" s="93" t="s">
        <v>670</v>
      </c>
      <c r="C2598" s="16"/>
      <c r="D2598" s="52"/>
      <c r="E2598" s="52"/>
      <c r="F2598" s="52"/>
      <c r="G2598" s="52"/>
      <c r="H2598" s="52"/>
      <c r="I2598" s="52"/>
      <c r="J2598" s="52"/>
      <c r="K2598" s="52"/>
      <c r="L2598" s="60">
        <f>L2599</f>
        <v>46</v>
      </c>
      <c r="M2598" s="60">
        <f t="shared" si="82"/>
        <v>50</v>
      </c>
      <c r="N2598" s="60">
        <f t="shared" si="82"/>
        <v>54</v>
      </c>
      <c r="O2598" s="60">
        <f t="shared" si="82"/>
        <v>57</v>
      </c>
      <c r="P2598" s="60">
        <f t="shared" si="82"/>
        <v>57</v>
      </c>
      <c r="Q2598" s="23"/>
      <c r="R2598" s="23"/>
      <c r="S2598" s="17"/>
      <c r="T2598" s="47"/>
      <c r="U2598" s="47"/>
      <c r="V2598" s="47"/>
      <c r="W2598" s="47"/>
      <c r="X2598" s="47"/>
      <c r="Y2598" s="47"/>
      <c r="Z2598" s="47"/>
      <c r="AA2598" s="47"/>
      <c r="AB2598" s="47"/>
      <c r="AC2598" s="47"/>
      <c r="AD2598" s="47"/>
      <c r="AE2598" s="47"/>
      <c r="AF2598" s="47"/>
      <c r="AG2598" s="47"/>
      <c r="AH2598" s="47"/>
      <c r="AI2598" s="47"/>
      <c r="AJ2598" s="47"/>
      <c r="AK2598" s="47"/>
      <c r="AL2598" s="47"/>
      <c r="AM2598" s="47"/>
      <c r="AN2598" s="47"/>
      <c r="AO2598" s="47"/>
      <c r="AP2598" s="47"/>
      <c r="AQ2598" s="47"/>
      <c r="AR2598" s="47"/>
      <c r="AS2598" s="47"/>
      <c r="AT2598" s="47"/>
      <c r="AU2598" s="47"/>
      <c r="AV2598" s="47"/>
    </row>
    <row r="2599" spans="1:48" s="27" customFormat="1" ht="17.25" customHeight="1">
      <c r="A2599" s="12"/>
      <c r="B2599" s="97" t="s">
        <v>1290</v>
      </c>
      <c r="C2599" s="29" t="s">
        <v>1289</v>
      </c>
      <c r="D2599" s="51"/>
      <c r="E2599" s="51"/>
      <c r="F2599" s="51"/>
      <c r="G2599" s="51"/>
      <c r="H2599" s="51"/>
      <c r="I2599" s="51"/>
      <c r="J2599" s="51"/>
      <c r="K2599" s="51"/>
      <c r="L2599" s="40">
        <v>46</v>
      </c>
      <c r="M2599" s="40">
        <v>50</v>
      </c>
      <c r="N2599" s="40">
        <v>54</v>
      </c>
      <c r="O2599" s="40">
        <v>57</v>
      </c>
      <c r="P2599" s="40">
        <v>57</v>
      </c>
      <c r="Q2599" s="39"/>
      <c r="R2599" s="39"/>
      <c r="S2599" s="39"/>
      <c r="T2599" s="48"/>
      <c r="U2599" s="48"/>
      <c r="V2599" s="48"/>
      <c r="W2599" s="48"/>
      <c r="X2599" s="48"/>
      <c r="Y2599" s="48"/>
      <c r="Z2599" s="48"/>
      <c r="AA2599" s="48"/>
      <c r="AB2599" s="48"/>
      <c r="AC2599" s="48"/>
      <c r="AD2599" s="48"/>
      <c r="AE2599" s="48"/>
      <c r="AF2599" s="48"/>
      <c r="AG2599" s="48"/>
      <c r="AH2599" s="48"/>
      <c r="AI2599" s="48"/>
      <c r="AJ2599" s="48"/>
      <c r="AK2599" s="48"/>
      <c r="AL2599" s="48"/>
      <c r="AM2599" s="48"/>
      <c r="AN2599" s="48"/>
      <c r="AO2599" s="48"/>
      <c r="AP2599" s="48"/>
      <c r="AQ2599" s="48"/>
      <c r="AR2599" s="48"/>
      <c r="AS2599" s="48"/>
      <c r="AT2599" s="48"/>
      <c r="AU2599" s="48"/>
      <c r="AV2599" s="48"/>
    </row>
    <row r="2600" spans="1:48" s="27" customFormat="1" ht="17.25" customHeight="1">
      <c r="A2600" s="12"/>
      <c r="B2600" s="97" t="s">
        <v>67</v>
      </c>
      <c r="C2600" s="15" t="s">
        <v>68</v>
      </c>
      <c r="D2600" s="51"/>
      <c r="E2600" s="51"/>
      <c r="F2600" s="51"/>
      <c r="G2600" s="51"/>
      <c r="H2600" s="51"/>
      <c r="I2600" s="51"/>
      <c r="J2600" s="51"/>
      <c r="K2600" s="51"/>
      <c r="L2600" s="40">
        <v>30</v>
      </c>
      <c r="M2600" s="40">
        <v>30</v>
      </c>
      <c r="N2600" s="40">
        <v>34</v>
      </c>
      <c r="O2600" s="40">
        <v>35</v>
      </c>
      <c r="P2600" s="40">
        <v>35</v>
      </c>
      <c r="Q2600" s="39"/>
      <c r="R2600" s="39"/>
      <c r="S2600" s="39"/>
      <c r="T2600" s="48"/>
      <c r="U2600" s="48"/>
      <c r="V2600" s="48"/>
      <c r="W2600" s="48"/>
      <c r="X2600" s="48"/>
      <c r="Y2600" s="48"/>
      <c r="Z2600" s="48"/>
      <c r="AA2600" s="48"/>
      <c r="AB2600" s="48"/>
      <c r="AC2600" s="48"/>
      <c r="AD2600" s="48"/>
      <c r="AE2600" s="48"/>
      <c r="AF2600" s="48"/>
      <c r="AG2600" s="48"/>
      <c r="AH2600" s="48"/>
      <c r="AI2600" s="48"/>
      <c r="AJ2600" s="48"/>
      <c r="AK2600" s="48"/>
      <c r="AL2600" s="48"/>
      <c r="AM2600" s="48"/>
      <c r="AN2600" s="48"/>
      <c r="AO2600" s="48"/>
      <c r="AP2600" s="48"/>
      <c r="AQ2600" s="48"/>
      <c r="AR2600" s="48"/>
      <c r="AS2600" s="48"/>
      <c r="AT2600" s="48"/>
      <c r="AU2600" s="48"/>
      <c r="AV2600" s="48"/>
    </row>
    <row r="2601" spans="1:48" s="27" customFormat="1" ht="17.25" customHeight="1">
      <c r="A2601" s="12"/>
      <c r="B2601" s="108" t="s">
        <v>270</v>
      </c>
      <c r="C2601" s="29"/>
      <c r="D2601" s="51"/>
      <c r="E2601" s="51"/>
      <c r="F2601" s="51"/>
      <c r="G2601" s="51"/>
      <c r="H2601" s="51"/>
      <c r="I2601" s="51"/>
      <c r="J2601" s="51"/>
      <c r="K2601" s="51"/>
      <c r="L2601" s="44">
        <f>L2602</f>
        <v>142</v>
      </c>
      <c r="M2601" s="44">
        <f>M2602</f>
        <v>142</v>
      </c>
      <c r="N2601" s="44">
        <f>N2602</f>
        <v>142</v>
      </c>
      <c r="O2601" s="44">
        <f>O2602</f>
        <v>142</v>
      </c>
      <c r="P2601" s="44">
        <f>P2602</f>
        <v>142</v>
      </c>
      <c r="Q2601" s="39"/>
      <c r="R2601" s="39"/>
      <c r="S2601" s="39"/>
      <c r="T2601" s="48"/>
      <c r="U2601" s="48"/>
      <c r="V2601" s="48"/>
      <c r="W2601" s="48"/>
      <c r="X2601" s="48"/>
      <c r="Y2601" s="48"/>
      <c r="Z2601" s="48"/>
      <c r="AA2601" s="48"/>
      <c r="AB2601" s="48"/>
      <c r="AC2601" s="48"/>
      <c r="AD2601" s="48"/>
      <c r="AE2601" s="48"/>
      <c r="AF2601" s="48"/>
      <c r="AG2601" s="48"/>
      <c r="AH2601" s="48"/>
      <c r="AI2601" s="48"/>
      <c r="AJ2601" s="48"/>
      <c r="AK2601" s="48"/>
      <c r="AL2601" s="48"/>
      <c r="AM2601" s="48"/>
      <c r="AN2601" s="48"/>
      <c r="AO2601" s="48"/>
      <c r="AP2601" s="48"/>
      <c r="AQ2601" s="48"/>
      <c r="AR2601" s="48"/>
      <c r="AS2601" s="48"/>
      <c r="AT2601" s="48"/>
      <c r="AU2601" s="48"/>
      <c r="AV2601" s="48"/>
    </row>
    <row r="2602" spans="1:48" s="27" customFormat="1" ht="17.25" customHeight="1">
      <c r="A2602" s="12"/>
      <c r="B2602" s="93" t="s">
        <v>670</v>
      </c>
      <c r="C2602" s="29"/>
      <c r="D2602" s="51"/>
      <c r="E2602" s="51"/>
      <c r="F2602" s="51"/>
      <c r="G2602" s="51"/>
      <c r="H2602" s="51"/>
      <c r="I2602" s="51"/>
      <c r="J2602" s="51"/>
      <c r="K2602" s="51"/>
      <c r="L2602" s="60">
        <f>SUM(L2603:L2611)</f>
        <v>142</v>
      </c>
      <c r="M2602" s="60">
        <f>SUM(M2603:M2611)</f>
        <v>142</v>
      </c>
      <c r="N2602" s="60">
        <f>SUM(N2603:N2611)</f>
        <v>142</v>
      </c>
      <c r="O2602" s="60">
        <f>SUM(O2603:O2611)</f>
        <v>142</v>
      </c>
      <c r="P2602" s="60">
        <f>SUM(P2603:P2611)</f>
        <v>142</v>
      </c>
      <c r="Q2602" s="39"/>
      <c r="R2602" s="39"/>
      <c r="S2602" s="39"/>
      <c r="T2602" s="48"/>
      <c r="U2602" s="48"/>
      <c r="V2602" s="48"/>
      <c r="W2602" s="48"/>
      <c r="X2602" s="48"/>
      <c r="Y2602" s="48"/>
      <c r="Z2602" s="48"/>
      <c r="AA2602" s="48"/>
      <c r="AB2602" s="48"/>
      <c r="AC2602" s="48"/>
      <c r="AD2602" s="48"/>
      <c r="AE2602" s="48"/>
      <c r="AF2602" s="48"/>
      <c r="AG2602" s="48"/>
      <c r="AH2602" s="48"/>
      <c r="AI2602" s="48"/>
      <c r="AJ2602" s="48"/>
      <c r="AK2602" s="48"/>
      <c r="AL2602" s="48"/>
      <c r="AM2602" s="48"/>
      <c r="AN2602" s="48"/>
      <c r="AO2602" s="48"/>
      <c r="AP2602" s="48"/>
      <c r="AQ2602" s="48"/>
      <c r="AR2602" s="48"/>
      <c r="AS2602" s="48"/>
      <c r="AT2602" s="48"/>
      <c r="AU2602" s="48"/>
      <c r="AV2602" s="48"/>
    </row>
    <row r="2603" spans="1:48" s="27" customFormat="1" ht="17.25" customHeight="1">
      <c r="A2603" s="12"/>
      <c r="B2603" s="111" t="s">
        <v>422</v>
      </c>
      <c r="C2603" s="15" t="s">
        <v>423</v>
      </c>
      <c r="D2603" s="51"/>
      <c r="E2603" s="51"/>
      <c r="F2603" s="51"/>
      <c r="G2603" s="51"/>
      <c r="H2603" s="51"/>
      <c r="I2603" s="51"/>
      <c r="J2603" s="51"/>
      <c r="K2603" s="51"/>
      <c r="L2603" s="40">
        <v>18</v>
      </c>
      <c r="M2603" s="40">
        <v>18</v>
      </c>
      <c r="N2603" s="40">
        <v>18</v>
      </c>
      <c r="O2603" s="40">
        <v>18</v>
      </c>
      <c r="P2603" s="40">
        <v>18</v>
      </c>
      <c r="Q2603" s="39"/>
      <c r="R2603" s="39"/>
      <c r="S2603" s="39"/>
      <c r="T2603" s="48"/>
      <c r="U2603" s="48"/>
      <c r="V2603" s="48"/>
      <c r="W2603" s="48"/>
      <c r="X2603" s="48"/>
      <c r="Y2603" s="48"/>
      <c r="Z2603" s="48"/>
      <c r="AA2603" s="48"/>
      <c r="AB2603" s="48"/>
      <c r="AC2603" s="48"/>
      <c r="AD2603" s="48"/>
      <c r="AE2603" s="48"/>
      <c r="AF2603" s="48"/>
      <c r="AG2603" s="48"/>
      <c r="AH2603" s="48"/>
      <c r="AI2603" s="48"/>
      <c r="AJ2603" s="48"/>
      <c r="AK2603" s="48"/>
      <c r="AL2603" s="48"/>
      <c r="AM2603" s="48"/>
      <c r="AN2603" s="48"/>
      <c r="AO2603" s="48"/>
      <c r="AP2603" s="48"/>
      <c r="AQ2603" s="48"/>
      <c r="AR2603" s="48"/>
      <c r="AS2603" s="48"/>
      <c r="AT2603" s="48"/>
      <c r="AU2603" s="48"/>
      <c r="AV2603" s="48"/>
    </row>
    <row r="2604" spans="1:48" s="27" customFormat="1" ht="17.25" customHeight="1">
      <c r="A2604" s="12"/>
      <c r="B2604" s="97" t="s">
        <v>271</v>
      </c>
      <c r="C2604" s="29" t="s">
        <v>272</v>
      </c>
      <c r="D2604" s="51"/>
      <c r="E2604" s="51"/>
      <c r="F2604" s="51"/>
      <c r="G2604" s="51"/>
      <c r="H2604" s="51"/>
      <c r="I2604" s="51"/>
      <c r="J2604" s="51"/>
      <c r="K2604" s="51"/>
      <c r="L2604" s="40">
        <v>26</v>
      </c>
      <c r="M2604" s="40">
        <v>26</v>
      </c>
      <c r="N2604" s="40">
        <v>26</v>
      </c>
      <c r="O2604" s="40">
        <v>26</v>
      </c>
      <c r="P2604" s="40">
        <v>26</v>
      </c>
      <c r="Q2604" s="39"/>
      <c r="R2604" s="39"/>
      <c r="S2604" s="39"/>
      <c r="T2604" s="48"/>
      <c r="U2604" s="48"/>
      <c r="V2604" s="48"/>
      <c r="W2604" s="48"/>
      <c r="X2604" s="48"/>
      <c r="Y2604" s="48"/>
      <c r="Z2604" s="48"/>
      <c r="AA2604" s="48"/>
      <c r="AB2604" s="48"/>
      <c r="AC2604" s="48"/>
      <c r="AD2604" s="48"/>
      <c r="AE2604" s="48"/>
      <c r="AF2604" s="48"/>
      <c r="AG2604" s="48"/>
      <c r="AH2604" s="48"/>
      <c r="AI2604" s="48"/>
      <c r="AJ2604" s="48"/>
      <c r="AK2604" s="48"/>
      <c r="AL2604" s="48"/>
      <c r="AM2604" s="48"/>
      <c r="AN2604" s="48"/>
      <c r="AO2604" s="48"/>
      <c r="AP2604" s="48"/>
      <c r="AQ2604" s="48"/>
      <c r="AR2604" s="48"/>
      <c r="AS2604" s="48"/>
      <c r="AT2604" s="48"/>
      <c r="AU2604" s="48"/>
      <c r="AV2604" s="48"/>
    </row>
    <row r="2605" spans="1:48" s="27" customFormat="1" ht="17.25" customHeight="1">
      <c r="A2605" s="12"/>
      <c r="B2605" s="97" t="s">
        <v>561</v>
      </c>
      <c r="C2605" s="66" t="s">
        <v>804</v>
      </c>
      <c r="D2605" s="51"/>
      <c r="E2605" s="51"/>
      <c r="F2605" s="51"/>
      <c r="G2605" s="51"/>
      <c r="H2605" s="51"/>
      <c r="I2605" s="51"/>
      <c r="J2605" s="51"/>
      <c r="K2605" s="51"/>
      <c r="L2605" s="40">
        <v>24</v>
      </c>
      <c r="M2605" s="40">
        <v>24</v>
      </c>
      <c r="N2605" s="40">
        <v>24</v>
      </c>
      <c r="O2605" s="40">
        <v>24</v>
      </c>
      <c r="P2605" s="40">
        <v>24</v>
      </c>
      <c r="Q2605" s="39"/>
      <c r="R2605" s="39"/>
      <c r="S2605" s="39"/>
      <c r="T2605" s="48"/>
      <c r="U2605" s="48"/>
      <c r="V2605" s="48"/>
      <c r="W2605" s="48"/>
      <c r="X2605" s="48"/>
      <c r="Y2605" s="48"/>
      <c r="Z2605" s="48"/>
      <c r="AA2605" s="48"/>
      <c r="AB2605" s="48"/>
      <c r="AC2605" s="48"/>
      <c r="AD2605" s="48"/>
      <c r="AE2605" s="48"/>
      <c r="AF2605" s="48"/>
      <c r="AG2605" s="48"/>
      <c r="AH2605" s="48"/>
      <c r="AI2605" s="48"/>
      <c r="AJ2605" s="48"/>
      <c r="AK2605" s="48"/>
      <c r="AL2605" s="48"/>
      <c r="AM2605" s="48"/>
      <c r="AN2605" s="48"/>
      <c r="AO2605" s="48"/>
      <c r="AP2605" s="48"/>
      <c r="AQ2605" s="48"/>
      <c r="AR2605" s="48"/>
      <c r="AS2605" s="48"/>
      <c r="AT2605" s="48"/>
      <c r="AU2605" s="48"/>
      <c r="AV2605" s="48"/>
    </row>
    <row r="2606" spans="1:48" s="27" customFormat="1" ht="17.25" customHeight="1">
      <c r="A2606" s="12"/>
      <c r="B2606" s="97" t="s">
        <v>273</v>
      </c>
      <c r="C2606" s="29" t="s">
        <v>274</v>
      </c>
      <c r="D2606" s="51"/>
      <c r="E2606" s="51"/>
      <c r="F2606" s="51"/>
      <c r="G2606" s="51"/>
      <c r="H2606" s="51"/>
      <c r="I2606" s="51"/>
      <c r="J2606" s="51"/>
      <c r="K2606" s="51"/>
      <c r="L2606" s="40">
        <v>26</v>
      </c>
      <c r="M2606" s="40">
        <v>26</v>
      </c>
      <c r="N2606" s="40">
        <v>26</v>
      </c>
      <c r="O2606" s="40">
        <v>26</v>
      </c>
      <c r="P2606" s="40">
        <v>26</v>
      </c>
      <c r="Q2606" s="39"/>
      <c r="R2606" s="39"/>
      <c r="S2606" s="39"/>
      <c r="T2606" s="48"/>
      <c r="U2606" s="48"/>
      <c r="V2606" s="48"/>
      <c r="W2606" s="48"/>
      <c r="X2606" s="48"/>
      <c r="Y2606" s="48"/>
      <c r="Z2606" s="48"/>
      <c r="AA2606" s="48"/>
      <c r="AB2606" s="48"/>
      <c r="AC2606" s="48"/>
      <c r="AD2606" s="48"/>
      <c r="AE2606" s="48"/>
      <c r="AF2606" s="48"/>
      <c r="AG2606" s="48"/>
      <c r="AH2606" s="48"/>
      <c r="AI2606" s="48"/>
      <c r="AJ2606" s="48"/>
      <c r="AK2606" s="48"/>
      <c r="AL2606" s="48"/>
      <c r="AM2606" s="48"/>
      <c r="AN2606" s="48"/>
      <c r="AO2606" s="48"/>
      <c r="AP2606" s="48"/>
      <c r="AQ2606" s="48"/>
      <c r="AR2606" s="48"/>
      <c r="AS2606" s="48"/>
      <c r="AT2606" s="48"/>
      <c r="AU2606" s="48"/>
      <c r="AV2606" s="48"/>
    </row>
    <row r="2607" spans="1:48" s="27" customFormat="1" ht="17.25" customHeight="1">
      <c r="A2607" s="12"/>
      <c r="B2607" s="97" t="s">
        <v>275</v>
      </c>
      <c r="C2607" s="29" t="s">
        <v>276</v>
      </c>
      <c r="D2607" s="51"/>
      <c r="E2607" s="51"/>
      <c r="F2607" s="51"/>
      <c r="G2607" s="51"/>
      <c r="H2607" s="51"/>
      <c r="I2607" s="51"/>
      <c r="J2607" s="51"/>
      <c r="K2607" s="51"/>
      <c r="L2607" s="40">
        <v>32</v>
      </c>
      <c r="M2607" s="40">
        <v>32</v>
      </c>
      <c r="N2607" s="40">
        <v>32</v>
      </c>
      <c r="O2607" s="40">
        <v>32</v>
      </c>
      <c r="P2607" s="40">
        <v>32</v>
      </c>
      <c r="Q2607" s="39"/>
      <c r="R2607" s="39"/>
      <c r="S2607" s="39"/>
      <c r="T2607" s="48"/>
      <c r="U2607" s="48"/>
      <c r="V2607" s="48"/>
      <c r="W2607" s="48"/>
      <c r="X2607" s="48"/>
      <c r="Y2607" s="48"/>
      <c r="Z2607" s="48"/>
      <c r="AA2607" s="48"/>
      <c r="AB2607" s="48"/>
      <c r="AC2607" s="48"/>
      <c r="AD2607" s="48"/>
      <c r="AE2607" s="48"/>
      <c r="AF2607" s="48"/>
      <c r="AG2607" s="48"/>
      <c r="AH2607" s="48"/>
      <c r="AI2607" s="48"/>
      <c r="AJ2607" s="48"/>
      <c r="AK2607" s="48"/>
      <c r="AL2607" s="48"/>
      <c r="AM2607" s="48"/>
      <c r="AN2607" s="48"/>
      <c r="AO2607" s="48"/>
      <c r="AP2607" s="48"/>
      <c r="AQ2607" s="48"/>
      <c r="AR2607" s="48"/>
      <c r="AS2607" s="48"/>
      <c r="AT2607" s="48"/>
      <c r="AU2607" s="48"/>
      <c r="AV2607" s="48"/>
    </row>
    <row r="2608" spans="1:48" s="27" customFormat="1" ht="17.25" customHeight="1">
      <c r="A2608" s="12"/>
      <c r="B2608" s="97" t="s">
        <v>277</v>
      </c>
      <c r="C2608" s="29" t="s">
        <v>278</v>
      </c>
      <c r="D2608" s="51"/>
      <c r="E2608" s="51"/>
      <c r="F2608" s="51"/>
      <c r="G2608" s="51"/>
      <c r="H2608" s="51"/>
      <c r="I2608" s="51"/>
      <c r="J2608" s="51"/>
      <c r="K2608" s="51"/>
      <c r="L2608" s="40">
        <v>3</v>
      </c>
      <c r="M2608" s="40">
        <v>3</v>
      </c>
      <c r="N2608" s="40">
        <v>3</v>
      </c>
      <c r="O2608" s="40">
        <v>3</v>
      </c>
      <c r="P2608" s="40">
        <v>3</v>
      </c>
      <c r="Q2608" s="39"/>
      <c r="R2608" s="39"/>
      <c r="S2608" s="39"/>
      <c r="T2608" s="48"/>
      <c r="U2608" s="48"/>
      <c r="V2608" s="48"/>
      <c r="W2608" s="48"/>
      <c r="X2608" s="48"/>
      <c r="Y2608" s="48"/>
      <c r="Z2608" s="48"/>
      <c r="AA2608" s="48"/>
      <c r="AB2608" s="48"/>
      <c r="AC2608" s="48"/>
      <c r="AD2608" s="48"/>
      <c r="AE2608" s="48"/>
      <c r="AF2608" s="48"/>
      <c r="AG2608" s="48"/>
      <c r="AH2608" s="48"/>
      <c r="AI2608" s="48"/>
      <c r="AJ2608" s="48"/>
      <c r="AK2608" s="48"/>
      <c r="AL2608" s="48"/>
      <c r="AM2608" s="48"/>
      <c r="AN2608" s="48"/>
      <c r="AO2608" s="48"/>
      <c r="AP2608" s="48"/>
      <c r="AQ2608" s="48"/>
      <c r="AR2608" s="48"/>
      <c r="AS2608" s="48"/>
      <c r="AT2608" s="48"/>
      <c r="AU2608" s="48"/>
      <c r="AV2608" s="48"/>
    </row>
    <row r="2609" spans="1:48" s="27" customFormat="1" ht="17.25" customHeight="1">
      <c r="A2609" s="12"/>
      <c r="B2609" s="97" t="s">
        <v>135</v>
      </c>
      <c r="C2609" s="15" t="s">
        <v>136</v>
      </c>
      <c r="D2609" s="51"/>
      <c r="E2609" s="51"/>
      <c r="F2609" s="51"/>
      <c r="G2609" s="51"/>
      <c r="H2609" s="51"/>
      <c r="I2609" s="51"/>
      <c r="J2609" s="51"/>
      <c r="K2609" s="51"/>
      <c r="L2609" s="40">
        <v>4</v>
      </c>
      <c r="M2609" s="40">
        <v>4</v>
      </c>
      <c r="N2609" s="40">
        <v>4</v>
      </c>
      <c r="O2609" s="40">
        <v>4</v>
      </c>
      <c r="P2609" s="40">
        <v>4</v>
      </c>
      <c r="Q2609" s="39"/>
      <c r="R2609" s="39"/>
      <c r="S2609" s="39"/>
      <c r="T2609" s="48"/>
      <c r="U2609" s="48"/>
      <c r="V2609" s="48"/>
      <c r="W2609" s="48"/>
      <c r="X2609" s="48"/>
      <c r="Y2609" s="48"/>
      <c r="Z2609" s="48"/>
      <c r="AA2609" s="48"/>
      <c r="AB2609" s="48"/>
      <c r="AC2609" s="48"/>
      <c r="AD2609" s="48"/>
      <c r="AE2609" s="48"/>
      <c r="AF2609" s="48"/>
      <c r="AG2609" s="48"/>
      <c r="AH2609" s="48"/>
      <c r="AI2609" s="48"/>
      <c r="AJ2609" s="48"/>
      <c r="AK2609" s="48"/>
      <c r="AL2609" s="48"/>
      <c r="AM2609" s="48"/>
      <c r="AN2609" s="48"/>
      <c r="AO2609" s="48"/>
      <c r="AP2609" s="48"/>
      <c r="AQ2609" s="48"/>
      <c r="AR2609" s="48"/>
      <c r="AS2609" s="48"/>
      <c r="AT2609" s="48"/>
      <c r="AU2609" s="48"/>
      <c r="AV2609" s="48"/>
    </row>
    <row r="2610" spans="1:48" s="27" customFormat="1" ht="30.75" customHeight="1">
      <c r="A2610" s="12"/>
      <c r="B2610" s="97" t="s">
        <v>280</v>
      </c>
      <c r="C2610" s="66" t="s">
        <v>281</v>
      </c>
      <c r="D2610" s="51"/>
      <c r="E2610" s="51"/>
      <c r="F2610" s="51"/>
      <c r="G2610" s="51"/>
      <c r="H2610" s="51"/>
      <c r="I2610" s="51"/>
      <c r="J2610" s="51"/>
      <c r="K2610" s="51"/>
      <c r="L2610" s="40">
        <v>8</v>
      </c>
      <c r="M2610" s="40">
        <v>8</v>
      </c>
      <c r="N2610" s="40">
        <v>8</v>
      </c>
      <c r="O2610" s="40">
        <v>8</v>
      </c>
      <c r="P2610" s="40">
        <v>8</v>
      </c>
      <c r="Q2610" s="39"/>
      <c r="R2610" s="39"/>
      <c r="S2610" s="39"/>
      <c r="T2610" s="48"/>
      <c r="U2610" s="48"/>
      <c r="V2610" s="48"/>
      <c r="W2610" s="48"/>
      <c r="X2610" s="48"/>
      <c r="Y2610" s="48"/>
      <c r="Z2610" s="48"/>
      <c r="AA2610" s="48"/>
      <c r="AB2610" s="48"/>
      <c r="AC2610" s="48"/>
      <c r="AD2610" s="48"/>
      <c r="AE2610" s="48"/>
      <c r="AF2610" s="48"/>
      <c r="AG2610" s="48"/>
      <c r="AH2610" s="48"/>
      <c r="AI2610" s="48"/>
      <c r="AJ2610" s="48"/>
      <c r="AK2610" s="48"/>
      <c r="AL2610" s="48"/>
      <c r="AM2610" s="48"/>
      <c r="AN2610" s="48"/>
      <c r="AO2610" s="48"/>
      <c r="AP2610" s="48"/>
      <c r="AQ2610" s="48"/>
      <c r="AR2610" s="48"/>
      <c r="AS2610" s="48"/>
      <c r="AT2610" s="48"/>
      <c r="AU2610" s="48"/>
      <c r="AV2610" s="48"/>
    </row>
    <row r="2611" spans="1:48" s="27" customFormat="1" ht="17.25" customHeight="1">
      <c r="A2611" s="12"/>
      <c r="B2611" s="97" t="s">
        <v>67</v>
      </c>
      <c r="C2611" s="15" t="s">
        <v>68</v>
      </c>
      <c r="D2611" s="51"/>
      <c r="E2611" s="51"/>
      <c r="F2611" s="51"/>
      <c r="G2611" s="51"/>
      <c r="H2611" s="51"/>
      <c r="I2611" s="51"/>
      <c r="J2611" s="51"/>
      <c r="K2611" s="51"/>
      <c r="L2611" s="40">
        <v>1</v>
      </c>
      <c r="M2611" s="40">
        <v>1</v>
      </c>
      <c r="N2611" s="40">
        <v>1</v>
      </c>
      <c r="O2611" s="40">
        <v>1</v>
      </c>
      <c r="P2611" s="40">
        <v>1</v>
      </c>
      <c r="Q2611" s="39"/>
      <c r="R2611" s="39"/>
      <c r="S2611" s="39"/>
      <c r="T2611" s="48"/>
      <c r="U2611" s="48"/>
      <c r="V2611" s="48"/>
      <c r="W2611" s="48"/>
      <c r="X2611" s="48"/>
      <c r="Y2611" s="48"/>
      <c r="Z2611" s="48"/>
      <c r="AA2611" s="48"/>
      <c r="AB2611" s="48"/>
      <c r="AC2611" s="48"/>
      <c r="AD2611" s="48"/>
      <c r="AE2611" s="48"/>
      <c r="AF2611" s="48"/>
      <c r="AG2611" s="48"/>
      <c r="AH2611" s="48"/>
      <c r="AI2611" s="48"/>
      <c r="AJ2611" s="48"/>
      <c r="AK2611" s="48"/>
      <c r="AL2611" s="48"/>
      <c r="AM2611" s="48"/>
      <c r="AN2611" s="48"/>
      <c r="AO2611" s="48"/>
      <c r="AP2611" s="48"/>
      <c r="AQ2611" s="48"/>
      <c r="AR2611" s="48"/>
      <c r="AS2611" s="48"/>
      <c r="AT2611" s="48"/>
      <c r="AU2611" s="48"/>
      <c r="AV2611" s="48"/>
    </row>
    <row r="2612" spans="1:48" s="27" customFormat="1" ht="17.25" customHeight="1">
      <c r="A2612" s="12"/>
      <c r="B2612" s="108" t="s">
        <v>14</v>
      </c>
      <c r="C2612" s="15"/>
      <c r="D2612" s="51"/>
      <c r="E2612" s="51"/>
      <c r="F2612" s="51"/>
      <c r="G2612" s="51"/>
      <c r="H2612" s="51"/>
      <c r="I2612" s="51"/>
      <c r="J2612" s="51"/>
      <c r="K2612" s="51"/>
      <c r="L2612" s="40"/>
      <c r="M2612" s="40"/>
      <c r="N2612" s="40"/>
      <c r="O2612" s="40"/>
      <c r="P2612" s="40"/>
      <c r="Q2612" s="39"/>
      <c r="R2612" s="39"/>
      <c r="S2612" s="39"/>
      <c r="T2612" s="48"/>
      <c r="U2612" s="48"/>
      <c r="V2612" s="48"/>
      <c r="W2612" s="48"/>
      <c r="X2612" s="48"/>
      <c r="Y2612" s="48"/>
      <c r="Z2612" s="48"/>
      <c r="AA2612" s="48"/>
      <c r="AB2612" s="48"/>
      <c r="AC2612" s="48"/>
      <c r="AD2612" s="48"/>
      <c r="AE2612" s="48"/>
      <c r="AF2612" s="48"/>
      <c r="AG2612" s="48"/>
      <c r="AH2612" s="48"/>
      <c r="AI2612" s="48"/>
      <c r="AJ2612" s="48"/>
      <c r="AK2612" s="48"/>
      <c r="AL2612" s="48"/>
      <c r="AM2612" s="48"/>
      <c r="AN2612" s="48"/>
      <c r="AO2612" s="48"/>
      <c r="AP2612" s="48"/>
      <c r="AQ2612" s="48"/>
      <c r="AR2612" s="48"/>
      <c r="AS2612" s="48"/>
      <c r="AT2612" s="48"/>
      <c r="AU2612" s="48"/>
      <c r="AV2612" s="48"/>
    </row>
    <row r="2613" spans="1:48" s="18" customFormat="1" ht="17.25" customHeight="1">
      <c r="A2613" s="50"/>
      <c r="B2613" s="104" t="s">
        <v>669</v>
      </c>
      <c r="C2613" s="16"/>
      <c r="D2613" s="52"/>
      <c r="E2613" s="52"/>
      <c r="F2613" s="52"/>
      <c r="G2613" s="52"/>
      <c r="H2613" s="52"/>
      <c r="I2613" s="52"/>
      <c r="J2613" s="52"/>
      <c r="K2613" s="52"/>
      <c r="L2613" s="60"/>
      <c r="M2613" s="60"/>
      <c r="N2613" s="60"/>
      <c r="O2613" s="60"/>
      <c r="P2613" s="60"/>
      <c r="Q2613" s="23"/>
      <c r="R2613" s="23"/>
      <c r="S2613" s="17"/>
      <c r="T2613" s="47"/>
      <c r="U2613" s="47"/>
      <c r="V2613" s="47"/>
      <c r="W2613" s="47"/>
      <c r="X2613" s="47"/>
      <c r="Y2613" s="47"/>
      <c r="Z2613" s="47"/>
      <c r="AA2613" s="47"/>
      <c r="AB2613" s="47"/>
      <c r="AC2613" s="47"/>
      <c r="AD2613" s="47"/>
      <c r="AE2613" s="47"/>
      <c r="AF2613" s="47"/>
      <c r="AG2613" s="47"/>
      <c r="AH2613" s="47"/>
      <c r="AI2613" s="47"/>
      <c r="AJ2613" s="47"/>
      <c r="AK2613" s="47"/>
      <c r="AL2613" s="47"/>
      <c r="AM2613" s="47"/>
      <c r="AN2613" s="47"/>
      <c r="AO2613" s="47"/>
      <c r="AP2613" s="47"/>
      <c r="AQ2613" s="47"/>
      <c r="AR2613" s="47"/>
      <c r="AS2613" s="47"/>
      <c r="AT2613" s="47"/>
      <c r="AU2613" s="47"/>
      <c r="AV2613" s="47"/>
    </row>
    <row r="2614" spans="1:48" s="27" customFormat="1" ht="17.25" customHeight="1">
      <c r="A2614" s="12"/>
      <c r="B2614" s="97" t="s">
        <v>411</v>
      </c>
      <c r="C2614" s="15" t="s">
        <v>412</v>
      </c>
      <c r="D2614" s="51"/>
      <c r="E2614" s="51"/>
      <c r="F2614" s="51"/>
      <c r="G2614" s="51"/>
      <c r="H2614" s="51"/>
      <c r="I2614" s="51"/>
      <c r="J2614" s="51"/>
      <c r="K2614" s="51"/>
      <c r="L2614" s="40">
        <v>3</v>
      </c>
      <c r="M2614" s="40">
        <v>4</v>
      </c>
      <c r="N2614" s="40">
        <v>3</v>
      </c>
      <c r="O2614" s="40">
        <v>2</v>
      </c>
      <c r="P2614" s="40">
        <v>2</v>
      </c>
      <c r="Q2614" s="39"/>
      <c r="R2614" s="39"/>
      <c r="S2614" s="39"/>
      <c r="T2614" s="48"/>
      <c r="U2614" s="48"/>
      <c r="V2614" s="48"/>
      <c r="W2614" s="48"/>
      <c r="X2614" s="48"/>
      <c r="Y2614" s="48"/>
      <c r="Z2614" s="48"/>
      <c r="AA2614" s="48"/>
      <c r="AB2614" s="48"/>
      <c r="AC2614" s="48"/>
      <c r="AD2614" s="48"/>
      <c r="AE2614" s="48"/>
      <c r="AF2614" s="48"/>
      <c r="AG2614" s="48"/>
      <c r="AH2614" s="48"/>
      <c r="AI2614" s="48"/>
      <c r="AJ2614" s="48"/>
      <c r="AK2614" s="48"/>
      <c r="AL2614" s="48"/>
      <c r="AM2614" s="48"/>
      <c r="AN2614" s="48"/>
      <c r="AO2614" s="48"/>
      <c r="AP2614" s="48"/>
      <c r="AQ2614" s="48"/>
      <c r="AR2614" s="48"/>
      <c r="AS2614" s="48"/>
      <c r="AT2614" s="48"/>
      <c r="AU2614" s="48"/>
      <c r="AV2614" s="48"/>
    </row>
    <row r="2615" spans="1:48" s="27" customFormat="1" ht="17.25" customHeight="1">
      <c r="A2615" s="12"/>
      <c r="B2615" s="97" t="s">
        <v>560</v>
      </c>
      <c r="C2615" s="29" t="s">
        <v>1319</v>
      </c>
      <c r="D2615" s="51"/>
      <c r="E2615" s="51"/>
      <c r="F2615" s="51"/>
      <c r="G2615" s="51"/>
      <c r="H2615" s="51"/>
      <c r="I2615" s="51"/>
      <c r="J2615" s="51"/>
      <c r="K2615" s="51"/>
      <c r="L2615" s="40">
        <v>7</v>
      </c>
      <c r="M2615" s="40">
        <v>4</v>
      </c>
      <c r="N2615" s="40">
        <v>7</v>
      </c>
      <c r="O2615" s="40">
        <v>5</v>
      </c>
      <c r="P2615" s="40">
        <v>3</v>
      </c>
      <c r="Q2615" s="39"/>
      <c r="R2615" s="39"/>
      <c r="S2615" s="39"/>
      <c r="T2615" s="48"/>
      <c r="U2615" s="48"/>
      <c r="V2615" s="48"/>
      <c r="W2615" s="48"/>
      <c r="X2615" s="48"/>
      <c r="Y2615" s="48"/>
      <c r="Z2615" s="48"/>
      <c r="AA2615" s="48"/>
      <c r="AB2615" s="48"/>
      <c r="AC2615" s="48"/>
      <c r="AD2615" s="48"/>
      <c r="AE2615" s="48"/>
      <c r="AF2615" s="48"/>
      <c r="AG2615" s="48"/>
      <c r="AH2615" s="48"/>
      <c r="AI2615" s="48"/>
      <c r="AJ2615" s="48"/>
      <c r="AK2615" s="48"/>
      <c r="AL2615" s="48"/>
      <c r="AM2615" s="48"/>
      <c r="AN2615" s="48"/>
      <c r="AO2615" s="48"/>
      <c r="AP2615" s="48"/>
      <c r="AQ2615" s="48"/>
      <c r="AR2615" s="48"/>
      <c r="AS2615" s="48"/>
      <c r="AT2615" s="48"/>
      <c r="AU2615" s="48"/>
      <c r="AV2615" s="48"/>
    </row>
    <row r="2616" spans="1:48" s="27" customFormat="1" ht="17.25" customHeight="1">
      <c r="A2616" s="12"/>
      <c r="B2616" s="97" t="s">
        <v>1051</v>
      </c>
      <c r="C2616" s="29" t="s">
        <v>1052</v>
      </c>
      <c r="D2616" s="51"/>
      <c r="E2616" s="51"/>
      <c r="F2616" s="51"/>
      <c r="G2616" s="51"/>
      <c r="H2616" s="51"/>
      <c r="I2616" s="51"/>
      <c r="J2616" s="51"/>
      <c r="K2616" s="51"/>
      <c r="L2616" s="40">
        <v>8</v>
      </c>
      <c r="M2616" s="40">
        <v>8</v>
      </c>
      <c r="N2616" s="40">
        <v>6</v>
      </c>
      <c r="O2616" s="40">
        <v>7</v>
      </c>
      <c r="P2616" s="40">
        <v>4</v>
      </c>
      <c r="Q2616" s="39"/>
      <c r="R2616" s="39"/>
      <c r="S2616" s="39"/>
      <c r="T2616" s="48"/>
      <c r="U2616" s="48"/>
      <c r="V2616" s="48"/>
      <c r="W2616" s="48"/>
      <c r="X2616" s="48"/>
      <c r="Y2616" s="48"/>
      <c r="Z2616" s="48"/>
      <c r="AA2616" s="48"/>
      <c r="AB2616" s="48"/>
      <c r="AC2616" s="48"/>
      <c r="AD2616" s="48"/>
      <c r="AE2616" s="48"/>
      <c r="AF2616" s="48"/>
      <c r="AG2616" s="48"/>
      <c r="AH2616" s="48"/>
      <c r="AI2616" s="48"/>
      <c r="AJ2616" s="48"/>
      <c r="AK2616" s="48"/>
      <c r="AL2616" s="48"/>
      <c r="AM2616" s="48"/>
      <c r="AN2616" s="48"/>
      <c r="AO2616" s="48"/>
      <c r="AP2616" s="48"/>
      <c r="AQ2616" s="48"/>
      <c r="AR2616" s="48"/>
      <c r="AS2616" s="48"/>
      <c r="AT2616" s="48"/>
      <c r="AU2616" s="48"/>
      <c r="AV2616" s="48"/>
    </row>
    <row r="2617" spans="1:48" s="27" customFormat="1" ht="17.25" customHeight="1">
      <c r="A2617" s="12"/>
      <c r="B2617" s="97" t="s">
        <v>1049</v>
      </c>
      <c r="C2617" s="29" t="s">
        <v>1050</v>
      </c>
      <c r="D2617" s="51"/>
      <c r="E2617" s="51"/>
      <c r="F2617" s="51"/>
      <c r="G2617" s="51"/>
      <c r="H2617" s="51"/>
      <c r="I2617" s="51"/>
      <c r="J2617" s="51"/>
      <c r="K2617" s="51"/>
      <c r="L2617" s="40" t="s">
        <v>556</v>
      </c>
      <c r="M2617" s="40">
        <v>1</v>
      </c>
      <c r="N2617" s="40">
        <v>1</v>
      </c>
      <c r="O2617" s="40">
        <v>1</v>
      </c>
      <c r="P2617" s="40" t="s">
        <v>556</v>
      </c>
      <c r="Q2617" s="39"/>
      <c r="R2617" s="39"/>
      <c r="S2617" s="39"/>
      <c r="T2617" s="48"/>
      <c r="U2617" s="48"/>
      <c r="V2617" s="48"/>
      <c r="W2617" s="48"/>
      <c r="X2617" s="48"/>
      <c r="Y2617" s="48"/>
      <c r="Z2617" s="48"/>
      <c r="AA2617" s="48"/>
      <c r="AB2617" s="48"/>
      <c r="AC2617" s="48"/>
      <c r="AD2617" s="48"/>
      <c r="AE2617" s="48"/>
      <c r="AF2617" s="48"/>
      <c r="AG2617" s="48"/>
      <c r="AH2617" s="48"/>
      <c r="AI2617" s="48"/>
      <c r="AJ2617" s="48"/>
      <c r="AK2617" s="48"/>
      <c r="AL2617" s="48"/>
      <c r="AM2617" s="48"/>
      <c r="AN2617" s="48"/>
      <c r="AO2617" s="48"/>
      <c r="AP2617" s="48"/>
      <c r="AQ2617" s="48"/>
      <c r="AR2617" s="48"/>
      <c r="AS2617" s="48"/>
      <c r="AT2617" s="48"/>
      <c r="AU2617" s="48"/>
      <c r="AV2617" s="48"/>
    </row>
    <row r="2618" spans="1:48" s="27" customFormat="1" ht="17.25" customHeight="1">
      <c r="A2618" s="12"/>
      <c r="B2618" s="97" t="s">
        <v>635</v>
      </c>
      <c r="C2618" s="29" t="s">
        <v>636</v>
      </c>
      <c r="D2618" s="51"/>
      <c r="E2618" s="51"/>
      <c r="F2618" s="51"/>
      <c r="G2618" s="51"/>
      <c r="H2618" s="51"/>
      <c r="I2618" s="51"/>
      <c r="J2618" s="51"/>
      <c r="K2618" s="51"/>
      <c r="L2618" s="40">
        <v>5</v>
      </c>
      <c r="M2618" s="40">
        <v>3</v>
      </c>
      <c r="N2618" s="40">
        <v>5</v>
      </c>
      <c r="O2618" s="40">
        <v>3</v>
      </c>
      <c r="P2618" s="40" t="s">
        <v>556</v>
      </c>
      <c r="Q2618" s="39"/>
      <c r="R2618" s="39"/>
      <c r="S2618" s="39"/>
      <c r="T2618" s="48"/>
      <c r="U2618" s="48"/>
      <c r="V2618" s="48"/>
      <c r="W2618" s="48"/>
      <c r="X2618" s="48"/>
      <c r="Y2618" s="48"/>
      <c r="Z2618" s="48"/>
      <c r="AA2618" s="48"/>
      <c r="AB2618" s="48"/>
      <c r="AC2618" s="48"/>
      <c r="AD2618" s="48"/>
      <c r="AE2618" s="48"/>
      <c r="AF2618" s="48"/>
      <c r="AG2618" s="48"/>
      <c r="AH2618" s="48"/>
      <c r="AI2618" s="48"/>
      <c r="AJ2618" s="48"/>
      <c r="AK2618" s="48"/>
      <c r="AL2618" s="48"/>
      <c r="AM2618" s="48"/>
      <c r="AN2618" s="48"/>
      <c r="AO2618" s="48"/>
      <c r="AP2618" s="48"/>
      <c r="AQ2618" s="48"/>
      <c r="AR2618" s="48"/>
      <c r="AS2618" s="48"/>
      <c r="AT2618" s="48"/>
      <c r="AU2618" s="48"/>
      <c r="AV2618" s="48"/>
    </row>
    <row r="2619" spans="1:48" s="27" customFormat="1" ht="17.25" customHeight="1">
      <c r="A2619" s="12"/>
      <c r="B2619" s="105" t="s">
        <v>980</v>
      </c>
      <c r="C2619" s="15" t="s">
        <v>981</v>
      </c>
      <c r="D2619" s="51"/>
      <c r="E2619" s="51"/>
      <c r="F2619" s="51"/>
      <c r="G2619" s="51"/>
      <c r="H2619" s="51"/>
      <c r="I2619" s="51"/>
      <c r="J2619" s="51"/>
      <c r="K2619" s="51"/>
      <c r="L2619" s="40" t="s">
        <v>556</v>
      </c>
      <c r="M2619" s="40" t="s">
        <v>556</v>
      </c>
      <c r="N2619" s="40" t="s">
        <v>556</v>
      </c>
      <c r="O2619" s="40">
        <v>1</v>
      </c>
      <c r="P2619" s="40" t="s">
        <v>556</v>
      </c>
      <c r="Q2619" s="39"/>
      <c r="R2619" s="39"/>
      <c r="S2619" s="39"/>
      <c r="T2619" s="48"/>
      <c r="U2619" s="48"/>
      <c r="V2619" s="48"/>
      <c r="W2619" s="48"/>
      <c r="X2619" s="48"/>
      <c r="Y2619" s="48"/>
      <c r="Z2619" s="48"/>
      <c r="AA2619" s="48"/>
      <c r="AB2619" s="48"/>
      <c r="AC2619" s="48"/>
      <c r="AD2619" s="48"/>
      <c r="AE2619" s="48"/>
      <c r="AF2619" s="48"/>
      <c r="AG2619" s="48"/>
      <c r="AH2619" s="48"/>
      <c r="AI2619" s="48"/>
      <c r="AJ2619" s="48"/>
      <c r="AK2619" s="48"/>
      <c r="AL2619" s="48"/>
      <c r="AM2619" s="48"/>
      <c r="AN2619" s="48"/>
      <c r="AO2619" s="48"/>
      <c r="AP2619" s="48"/>
      <c r="AQ2619" s="48"/>
      <c r="AR2619" s="48"/>
      <c r="AS2619" s="48"/>
      <c r="AT2619" s="48"/>
      <c r="AU2619" s="48"/>
      <c r="AV2619" s="48"/>
    </row>
    <row r="2620" spans="1:48" s="27" customFormat="1" ht="17.25" customHeight="1">
      <c r="A2620" s="12"/>
      <c r="B2620" s="97" t="s">
        <v>599</v>
      </c>
      <c r="C2620" s="15" t="s">
        <v>600</v>
      </c>
      <c r="D2620" s="51"/>
      <c r="E2620" s="51"/>
      <c r="F2620" s="51"/>
      <c r="G2620" s="51"/>
      <c r="H2620" s="51"/>
      <c r="I2620" s="51"/>
      <c r="J2620" s="51"/>
      <c r="K2620" s="51"/>
      <c r="L2620" s="40">
        <v>10</v>
      </c>
      <c r="M2620" s="40">
        <v>10</v>
      </c>
      <c r="N2620" s="40">
        <v>10</v>
      </c>
      <c r="O2620" s="40">
        <v>11</v>
      </c>
      <c r="P2620" s="40">
        <v>11</v>
      </c>
      <c r="Q2620" s="39"/>
      <c r="R2620" s="39"/>
      <c r="S2620" s="39"/>
      <c r="T2620" s="48"/>
      <c r="U2620" s="48"/>
      <c r="V2620" s="48"/>
      <c r="W2620" s="48"/>
      <c r="X2620" s="48"/>
      <c r="Y2620" s="48"/>
      <c r="Z2620" s="48"/>
      <c r="AA2620" s="48"/>
      <c r="AB2620" s="48"/>
      <c r="AC2620" s="48"/>
      <c r="AD2620" s="48"/>
      <c r="AE2620" s="48"/>
      <c r="AF2620" s="48"/>
      <c r="AG2620" s="48"/>
      <c r="AH2620" s="48"/>
      <c r="AI2620" s="48"/>
      <c r="AJ2620" s="48"/>
      <c r="AK2620" s="48"/>
      <c r="AL2620" s="48"/>
      <c r="AM2620" s="48"/>
      <c r="AN2620" s="48"/>
      <c r="AO2620" s="48"/>
      <c r="AP2620" s="48"/>
      <c r="AQ2620" s="48"/>
      <c r="AR2620" s="48"/>
      <c r="AS2620" s="48"/>
      <c r="AT2620" s="48"/>
      <c r="AU2620" s="48"/>
      <c r="AV2620" s="48"/>
    </row>
    <row r="2621" spans="1:48" s="27" customFormat="1" ht="17.25" customHeight="1">
      <c r="A2621" s="12"/>
      <c r="B2621" s="97" t="s">
        <v>448</v>
      </c>
      <c r="C2621" s="29" t="s">
        <v>449</v>
      </c>
      <c r="D2621" s="51"/>
      <c r="E2621" s="51"/>
      <c r="F2621" s="51"/>
      <c r="G2621" s="51"/>
      <c r="H2621" s="51"/>
      <c r="I2621" s="51"/>
      <c r="J2621" s="51"/>
      <c r="K2621" s="51"/>
      <c r="L2621" s="40">
        <v>5</v>
      </c>
      <c r="M2621" s="40">
        <v>1</v>
      </c>
      <c r="N2621" s="40">
        <v>1</v>
      </c>
      <c r="O2621" s="40" t="s">
        <v>556</v>
      </c>
      <c r="P2621" s="40">
        <v>1</v>
      </c>
      <c r="Q2621" s="39"/>
      <c r="R2621" s="39"/>
      <c r="S2621" s="39"/>
      <c r="T2621" s="48"/>
      <c r="U2621" s="48"/>
      <c r="V2621" s="48"/>
      <c r="W2621" s="48"/>
      <c r="X2621" s="48"/>
      <c r="Y2621" s="48"/>
      <c r="Z2621" s="48"/>
      <c r="AA2621" s="48"/>
      <c r="AB2621" s="48"/>
      <c r="AC2621" s="48"/>
      <c r="AD2621" s="48"/>
      <c r="AE2621" s="48"/>
      <c r="AF2621" s="48"/>
      <c r="AG2621" s="48"/>
      <c r="AH2621" s="48"/>
      <c r="AI2621" s="48"/>
      <c r="AJ2621" s="48"/>
      <c r="AK2621" s="48"/>
      <c r="AL2621" s="48"/>
      <c r="AM2621" s="48"/>
      <c r="AN2621" s="48"/>
      <c r="AO2621" s="48"/>
      <c r="AP2621" s="48"/>
      <c r="AQ2621" s="48"/>
      <c r="AR2621" s="48"/>
      <c r="AS2621" s="48"/>
      <c r="AT2621" s="48"/>
      <c r="AU2621" s="48"/>
      <c r="AV2621" s="48"/>
    </row>
    <row r="2622" spans="1:48" s="27" customFormat="1" ht="17.25" customHeight="1">
      <c r="A2622" s="12"/>
      <c r="B2622" s="97" t="s">
        <v>564</v>
      </c>
      <c r="C2622" s="29" t="s">
        <v>565</v>
      </c>
      <c r="D2622" s="51"/>
      <c r="E2622" s="51"/>
      <c r="F2622" s="51"/>
      <c r="G2622" s="51"/>
      <c r="H2622" s="51"/>
      <c r="I2622" s="51"/>
      <c r="J2622" s="51"/>
      <c r="K2622" s="51"/>
      <c r="L2622" s="40">
        <v>6</v>
      </c>
      <c r="M2622" s="40">
        <v>5</v>
      </c>
      <c r="N2622" s="40">
        <v>4</v>
      </c>
      <c r="O2622" s="40">
        <v>4</v>
      </c>
      <c r="P2622" s="40">
        <v>5</v>
      </c>
      <c r="Q2622" s="39"/>
      <c r="R2622" s="39"/>
      <c r="S2622" s="39"/>
      <c r="T2622" s="48"/>
      <c r="U2622" s="48"/>
      <c r="V2622" s="48"/>
      <c r="W2622" s="48"/>
      <c r="X2622" s="48"/>
      <c r="Y2622" s="48"/>
      <c r="Z2622" s="48"/>
      <c r="AA2622" s="48"/>
      <c r="AB2622" s="48"/>
      <c r="AC2622" s="48"/>
      <c r="AD2622" s="48"/>
      <c r="AE2622" s="48"/>
      <c r="AF2622" s="48"/>
      <c r="AG2622" s="48"/>
      <c r="AH2622" s="48"/>
      <c r="AI2622" s="48"/>
      <c r="AJ2622" s="48"/>
      <c r="AK2622" s="48"/>
      <c r="AL2622" s="48"/>
      <c r="AM2622" s="48"/>
      <c r="AN2622" s="48"/>
      <c r="AO2622" s="48"/>
      <c r="AP2622" s="48"/>
      <c r="AQ2622" s="48"/>
      <c r="AR2622" s="48"/>
      <c r="AS2622" s="48"/>
      <c r="AT2622" s="48"/>
      <c r="AU2622" s="48"/>
      <c r="AV2622" s="48"/>
    </row>
    <row r="2623" spans="1:48" s="27" customFormat="1" ht="17.25" customHeight="1">
      <c r="A2623" s="12"/>
      <c r="B2623" s="97" t="s">
        <v>930</v>
      </c>
      <c r="C2623" s="29" t="s">
        <v>931</v>
      </c>
      <c r="D2623" s="51"/>
      <c r="E2623" s="51"/>
      <c r="F2623" s="51"/>
      <c r="G2623" s="51"/>
      <c r="H2623" s="51"/>
      <c r="I2623" s="51"/>
      <c r="J2623" s="51"/>
      <c r="K2623" s="51"/>
      <c r="L2623" s="40">
        <v>8</v>
      </c>
      <c r="M2623" s="40">
        <v>5</v>
      </c>
      <c r="N2623" s="40">
        <v>4</v>
      </c>
      <c r="O2623" s="40">
        <v>4</v>
      </c>
      <c r="P2623" s="40">
        <v>4</v>
      </c>
      <c r="Q2623" s="39"/>
      <c r="R2623" s="39"/>
      <c r="S2623" s="39"/>
      <c r="T2623" s="48"/>
      <c r="U2623" s="48"/>
      <c r="V2623" s="48"/>
      <c r="W2623" s="48"/>
      <c r="X2623" s="48"/>
      <c r="Y2623" s="48"/>
      <c r="Z2623" s="48"/>
      <c r="AA2623" s="48"/>
      <c r="AB2623" s="48"/>
      <c r="AC2623" s="48"/>
      <c r="AD2623" s="48"/>
      <c r="AE2623" s="48"/>
      <c r="AF2623" s="48"/>
      <c r="AG2623" s="48"/>
      <c r="AH2623" s="48"/>
      <c r="AI2623" s="48"/>
      <c r="AJ2623" s="48"/>
      <c r="AK2623" s="48"/>
      <c r="AL2623" s="48"/>
      <c r="AM2623" s="48"/>
      <c r="AN2623" s="48"/>
      <c r="AO2623" s="48"/>
      <c r="AP2623" s="48"/>
      <c r="AQ2623" s="48"/>
      <c r="AR2623" s="48"/>
      <c r="AS2623" s="48"/>
      <c r="AT2623" s="48"/>
      <c r="AU2623" s="48"/>
      <c r="AV2623" s="48"/>
    </row>
    <row r="2624" spans="1:48" s="27" customFormat="1" ht="17.25" customHeight="1">
      <c r="A2624" s="12"/>
      <c r="B2624" s="97" t="s">
        <v>1316</v>
      </c>
      <c r="C2624" s="29" t="s">
        <v>1317</v>
      </c>
      <c r="D2624" s="51"/>
      <c r="E2624" s="51"/>
      <c r="F2624" s="51"/>
      <c r="G2624" s="51"/>
      <c r="H2624" s="51"/>
      <c r="I2624" s="51"/>
      <c r="J2624" s="51"/>
      <c r="K2624" s="51"/>
      <c r="L2624" s="40">
        <v>2</v>
      </c>
      <c r="M2624" s="40">
        <v>1</v>
      </c>
      <c r="N2624" s="40">
        <v>1</v>
      </c>
      <c r="O2624" s="40">
        <v>1</v>
      </c>
      <c r="P2624" s="40">
        <v>1</v>
      </c>
      <c r="Q2624" s="39"/>
      <c r="R2624" s="39"/>
      <c r="S2624" s="39"/>
      <c r="T2624" s="48"/>
      <c r="U2624" s="48"/>
      <c r="V2624" s="48"/>
      <c r="W2624" s="48"/>
      <c r="X2624" s="48"/>
      <c r="Y2624" s="48"/>
      <c r="Z2624" s="48"/>
      <c r="AA2624" s="48"/>
      <c r="AB2624" s="48"/>
      <c r="AC2624" s="48"/>
      <c r="AD2624" s="48"/>
      <c r="AE2624" s="48"/>
      <c r="AF2624" s="48"/>
      <c r="AG2624" s="48"/>
      <c r="AH2624" s="48"/>
      <c r="AI2624" s="48"/>
      <c r="AJ2624" s="48"/>
      <c r="AK2624" s="48"/>
      <c r="AL2624" s="48"/>
      <c r="AM2624" s="48"/>
      <c r="AN2624" s="48"/>
      <c r="AO2624" s="48"/>
      <c r="AP2624" s="48"/>
      <c r="AQ2624" s="48"/>
      <c r="AR2624" s="48"/>
      <c r="AS2624" s="48"/>
      <c r="AT2624" s="48"/>
      <c r="AU2624" s="48"/>
      <c r="AV2624" s="48"/>
    </row>
    <row r="2625" spans="1:48" s="27" customFormat="1" ht="17.25" customHeight="1">
      <c r="A2625" s="12"/>
      <c r="B2625" s="97" t="s">
        <v>1301</v>
      </c>
      <c r="C2625" s="29" t="s">
        <v>1302</v>
      </c>
      <c r="D2625" s="51"/>
      <c r="E2625" s="51"/>
      <c r="F2625" s="51"/>
      <c r="G2625" s="51"/>
      <c r="H2625" s="51"/>
      <c r="I2625" s="51"/>
      <c r="J2625" s="51"/>
      <c r="K2625" s="51"/>
      <c r="L2625" s="40" t="s">
        <v>556</v>
      </c>
      <c r="M2625" s="40">
        <v>1</v>
      </c>
      <c r="N2625" s="40" t="s">
        <v>556</v>
      </c>
      <c r="O2625" s="40" t="s">
        <v>556</v>
      </c>
      <c r="P2625" s="40" t="s">
        <v>556</v>
      </c>
      <c r="Q2625" s="39"/>
      <c r="R2625" s="39"/>
      <c r="S2625" s="39"/>
      <c r="T2625" s="48"/>
      <c r="U2625" s="48"/>
      <c r="V2625" s="48"/>
      <c r="W2625" s="48"/>
      <c r="X2625" s="48"/>
      <c r="Y2625" s="48"/>
      <c r="Z2625" s="48"/>
      <c r="AA2625" s="48"/>
      <c r="AB2625" s="48"/>
      <c r="AC2625" s="48"/>
      <c r="AD2625" s="48"/>
      <c r="AE2625" s="48"/>
      <c r="AF2625" s="48"/>
      <c r="AG2625" s="48"/>
      <c r="AH2625" s="48"/>
      <c r="AI2625" s="48"/>
      <c r="AJ2625" s="48"/>
      <c r="AK2625" s="48"/>
      <c r="AL2625" s="48"/>
      <c r="AM2625" s="48"/>
      <c r="AN2625" s="48"/>
      <c r="AO2625" s="48"/>
      <c r="AP2625" s="48"/>
      <c r="AQ2625" s="48"/>
      <c r="AR2625" s="48"/>
      <c r="AS2625" s="48"/>
      <c r="AT2625" s="48"/>
      <c r="AU2625" s="48"/>
      <c r="AV2625" s="48"/>
    </row>
    <row r="2626" spans="1:48" s="27" customFormat="1" ht="17.25" customHeight="1">
      <c r="A2626" s="12"/>
      <c r="B2626" s="105" t="s">
        <v>1030</v>
      </c>
      <c r="C2626" s="15" t="s">
        <v>1031</v>
      </c>
      <c r="D2626" s="51"/>
      <c r="E2626" s="51"/>
      <c r="F2626" s="51"/>
      <c r="G2626" s="51"/>
      <c r="H2626" s="51"/>
      <c r="I2626" s="51"/>
      <c r="J2626" s="51"/>
      <c r="K2626" s="51"/>
      <c r="L2626" s="40">
        <v>10</v>
      </c>
      <c r="M2626" s="40">
        <v>2</v>
      </c>
      <c r="N2626" s="40">
        <v>1</v>
      </c>
      <c r="O2626" s="40">
        <v>1</v>
      </c>
      <c r="P2626" s="40">
        <v>2</v>
      </c>
      <c r="Q2626" s="39"/>
      <c r="R2626" s="39"/>
      <c r="S2626" s="39"/>
      <c r="T2626" s="48"/>
      <c r="U2626" s="48"/>
      <c r="V2626" s="48"/>
      <c r="W2626" s="48"/>
      <c r="X2626" s="48"/>
      <c r="Y2626" s="48"/>
      <c r="Z2626" s="48"/>
      <c r="AA2626" s="48"/>
      <c r="AB2626" s="48"/>
      <c r="AC2626" s="48"/>
      <c r="AD2626" s="48"/>
      <c r="AE2626" s="48"/>
      <c r="AF2626" s="48"/>
      <c r="AG2626" s="48"/>
      <c r="AH2626" s="48"/>
      <c r="AI2626" s="48"/>
      <c r="AJ2626" s="48"/>
      <c r="AK2626" s="48"/>
      <c r="AL2626" s="48"/>
      <c r="AM2626" s="48"/>
      <c r="AN2626" s="48"/>
      <c r="AO2626" s="48"/>
      <c r="AP2626" s="48"/>
      <c r="AQ2626" s="48"/>
      <c r="AR2626" s="48"/>
      <c r="AS2626" s="48"/>
      <c r="AT2626" s="48"/>
      <c r="AU2626" s="48"/>
      <c r="AV2626" s="48"/>
    </row>
    <row r="2627" spans="1:48" s="27" customFormat="1" ht="17.25" customHeight="1">
      <c r="A2627" s="12"/>
      <c r="B2627" s="97" t="s">
        <v>460</v>
      </c>
      <c r="C2627" s="29" t="s">
        <v>544</v>
      </c>
      <c r="D2627" s="51"/>
      <c r="E2627" s="51"/>
      <c r="F2627" s="51"/>
      <c r="G2627" s="51"/>
      <c r="H2627" s="51"/>
      <c r="I2627" s="51"/>
      <c r="J2627" s="51"/>
      <c r="K2627" s="51"/>
      <c r="L2627" s="40">
        <v>2</v>
      </c>
      <c r="M2627" s="40" t="s">
        <v>556</v>
      </c>
      <c r="N2627" s="40" t="s">
        <v>556</v>
      </c>
      <c r="O2627" s="40" t="s">
        <v>556</v>
      </c>
      <c r="P2627" s="40" t="s">
        <v>556</v>
      </c>
      <c r="Q2627" s="39"/>
      <c r="R2627" s="39"/>
      <c r="S2627" s="39"/>
      <c r="T2627" s="48"/>
      <c r="U2627" s="48"/>
      <c r="V2627" s="48"/>
      <c r="W2627" s="48"/>
      <c r="X2627" s="48"/>
      <c r="Y2627" s="48"/>
      <c r="Z2627" s="48"/>
      <c r="AA2627" s="48"/>
      <c r="AB2627" s="48"/>
      <c r="AC2627" s="48"/>
      <c r="AD2627" s="48"/>
      <c r="AE2627" s="48"/>
      <c r="AF2627" s="48"/>
      <c r="AG2627" s="48"/>
      <c r="AH2627" s="48"/>
      <c r="AI2627" s="48"/>
      <c r="AJ2627" s="48"/>
      <c r="AK2627" s="48"/>
      <c r="AL2627" s="48"/>
      <c r="AM2627" s="48"/>
      <c r="AN2627" s="48"/>
      <c r="AO2627" s="48"/>
      <c r="AP2627" s="48"/>
      <c r="AQ2627" s="48"/>
      <c r="AR2627" s="48"/>
      <c r="AS2627" s="48"/>
      <c r="AT2627" s="48"/>
      <c r="AU2627" s="48"/>
      <c r="AV2627" s="48"/>
    </row>
    <row r="2628" spans="1:48" s="27" customFormat="1" ht="17.25" customHeight="1">
      <c r="A2628" s="12"/>
      <c r="B2628" s="105" t="s">
        <v>140</v>
      </c>
      <c r="C2628" s="15" t="s">
        <v>141</v>
      </c>
      <c r="D2628" s="51"/>
      <c r="E2628" s="51"/>
      <c r="F2628" s="51"/>
      <c r="G2628" s="51"/>
      <c r="H2628" s="51"/>
      <c r="I2628" s="51"/>
      <c r="J2628" s="51"/>
      <c r="K2628" s="51"/>
      <c r="L2628" s="40" t="s">
        <v>556</v>
      </c>
      <c r="M2628" s="40">
        <v>1</v>
      </c>
      <c r="N2628" s="40" t="s">
        <v>556</v>
      </c>
      <c r="O2628" s="40" t="s">
        <v>556</v>
      </c>
      <c r="P2628" s="40" t="s">
        <v>556</v>
      </c>
      <c r="Q2628" s="39"/>
      <c r="R2628" s="39"/>
      <c r="S2628" s="39"/>
      <c r="T2628" s="48"/>
      <c r="U2628" s="48"/>
      <c r="V2628" s="48"/>
      <c r="W2628" s="48"/>
      <c r="X2628" s="48"/>
      <c r="Y2628" s="48"/>
      <c r="Z2628" s="48"/>
      <c r="AA2628" s="48"/>
      <c r="AB2628" s="48"/>
      <c r="AC2628" s="48"/>
      <c r="AD2628" s="48"/>
      <c r="AE2628" s="48"/>
      <c r="AF2628" s="48"/>
      <c r="AG2628" s="48"/>
      <c r="AH2628" s="48"/>
      <c r="AI2628" s="48"/>
      <c r="AJ2628" s="48"/>
      <c r="AK2628" s="48"/>
      <c r="AL2628" s="48"/>
      <c r="AM2628" s="48"/>
      <c r="AN2628" s="48"/>
      <c r="AO2628" s="48"/>
      <c r="AP2628" s="48"/>
      <c r="AQ2628" s="48"/>
      <c r="AR2628" s="48"/>
      <c r="AS2628" s="48"/>
      <c r="AT2628" s="48"/>
      <c r="AU2628" s="48"/>
      <c r="AV2628" s="48"/>
    </row>
    <row r="2629" spans="1:48" s="27" customFormat="1" ht="17.25" customHeight="1">
      <c r="A2629" s="12"/>
      <c r="B2629" s="93" t="s">
        <v>670</v>
      </c>
      <c r="C2629" s="29"/>
      <c r="D2629" s="51"/>
      <c r="E2629" s="51"/>
      <c r="F2629" s="51"/>
      <c r="G2629" s="51"/>
      <c r="H2629" s="51"/>
      <c r="I2629" s="51"/>
      <c r="J2629" s="51"/>
      <c r="K2629" s="51"/>
      <c r="L2629" s="60"/>
      <c r="M2629" s="60"/>
      <c r="N2629" s="60"/>
      <c r="O2629" s="60"/>
      <c r="P2629" s="60"/>
      <c r="Q2629" s="39"/>
      <c r="R2629" s="39"/>
      <c r="S2629" s="39"/>
      <c r="T2629" s="48"/>
      <c r="U2629" s="48"/>
      <c r="V2629" s="48"/>
      <c r="W2629" s="48"/>
      <c r="X2629" s="48"/>
      <c r="Y2629" s="48"/>
      <c r="Z2629" s="48"/>
      <c r="AA2629" s="48"/>
      <c r="AB2629" s="48"/>
      <c r="AC2629" s="48"/>
      <c r="AD2629" s="48"/>
      <c r="AE2629" s="48"/>
      <c r="AF2629" s="48"/>
      <c r="AG2629" s="48"/>
      <c r="AH2629" s="48"/>
      <c r="AI2629" s="48"/>
      <c r="AJ2629" s="48"/>
      <c r="AK2629" s="48"/>
      <c r="AL2629" s="48"/>
      <c r="AM2629" s="48"/>
      <c r="AN2629" s="48"/>
      <c r="AO2629" s="48"/>
      <c r="AP2629" s="48"/>
      <c r="AQ2629" s="48"/>
      <c r="AR2629" s="48"/>
      <c r="AS2629" s="48"/>
      <c r="AT2629" s="48"/>
      <c r="AU2629" s="48"/>
      <c r="AV2629" s="48"/>
    </row>
    <row r="2630" spans="1:48" s="27" customFormat="1" ht="17.25" customHeight="1">
      <c r="A2630" s="12"/>
      <c r="B2630" s="105" t="s">
        <v>133</v>
      </c>
      <c r="C2630" s="15" t="s">
        <v>134</v>
      </c>
      <c r="D2630" s="51"/>
      <c r="E2630" s="51"/>
      <c r="F2630" s="51"/>
      <c r="G2630" s="51"/>
      <c r="H2630" s="51"/>
      <c r="I2630" s="51"/>
      <c r="J2630" s="51"/>
      <c r="K2630" s="51"/>
      <c r="L2630" s="40">
        <v>5</v>
      </c>
      <c r="M2630" s="40">
        <v>4</v>
      </c>
      <c r="N2630" s="40">
        <v>4</v>
      </c>
      <c r="O2630" s="40">
        <v>5</v>
      </c>
      <c r="P2630" s="40">
        <v>4</v>
      </c>
      <c r="Q2630" s="39"/>
      <c r="R2630" s="39"/>
      <c r="S2630" s="39"/>
      <c r="T2630" s="48"/>
      <c r="U2630" s="48"/>
      <c r="V2630" s="48"/>
      <c r="W2630" s="48"/>
      <c r="X2630" s="48"/>
      <c r="Y2630" s="48"/>
      <c r="Z2630" s="48"/>
      <c r="AA2630" s="48"/>
      <c r="AB2630" s="48"/>
      <c r="AC2630" s="48"/>
      <c r="AD2630" s="48"/>
      <c r="AE2630" s="48"/>
      <c r="AF2630" s="48"/>
      <c r="AG2630" s="48"/>
      <c r="AH2630" s="48"/>
      <c r="AI2630" s="48"/>
      <c r="AJ2630" s="48"/>
      <c r="AK2630" s="48"/>
      <c r="AL2630" s="48"/>
      <c r="AM2630" s="48"/>
      <c r="AN2630" s="48"/>
      <c r="AO2630" s="48"/>
      <c r="AP2630" s="48"/>
      <c r="AQ2630" s="48"/>
      <c r="AR2630" s="48"/>
      <c r="AS2630" s="48"/>
      <c r="AT2630" s="48"/>
      <c r="AU2630" s="48"/>
      <c r="AV2630" s="48"/>
    </row>
    <row r="2631" spans="1:48" s="27" customFormat="1" ht="17.25" customHeight="1">
      <c r="A2631" s="12"/>
      <c r="B2631" s="97" t="s">
        <v>303</v>
      </c>
      <c r="C2631" s="15" t="s">
        <v>304</v>
      </c>
      <c r="D2631" s="51"/>
      <c r="E2631" s="51"/>
      <c r="F2631" s="51"/>
      <c r="G2631" s="51"/>
      <c r="H2631" s="51"/>
      <c r="I2631" s="51"/>
      <c r="J2631" s="51"/>
      <c r="K2631" s="51"/>
      <c r="L2631" s="40">
        <v>1</v>
      </c>
      <c r="M2631" s="40">
        <v>1</v>
      </c>
      <c r="N2631" s="40">
        <v>1</v>
      </c>
      <c r="O2631" s="40">
        <v>1</v>
      </c>
      <c r="P2631" s="40">
        <v>1</v>
      </c>
      <c r="Q2631" s="39"/>
      <c r="R2631" s="39"/>
      <c r="S2631" s="39"/>
      <c r="T2631" s="48"/>
      <c r="U2631" s="48"/>
      <c r="V2631" s="48"/>
      <c r="W2631" s="48"/>
      <c r="X2631" s="48"/>
      <c r="Y2631" s="48"/>
      <c r="Z2631" s="48"/>
      <c r="AA2631" s="48"/>
      <c r="AB2631" s="48"/>
      <c r="AC2631" s="48"/>
      <c r="AD2631" s="48"/>
      <c r="AE2631" s="48"/>
      <c r="AF2631" s="48"/>
      <c r="AG2631" s="48"/>
      <c r="AH2631" s="48"/>
      <c r="AI2631" s="48"/>
      <c r="AJ2631" s="48"/>
      <c r="AK2631" s="48"/>
      <c r="AL2631" s="48"/>
      <c r="AM2631" s="48"/>
      <c r="AN2631" s="48"/>
      <c r="AO2631" s="48"/>
      <c r="AP2631" s="48"/>
      <c r="AQ2631" s="48"/>
      <c r="AR2631" s="48"/>
      <c r="AS2631" s="48"/>
      <c r="AT2631" s="48"/>
      <c r="AU2631" s="48"/>
      <c r="AV2631" s="48"/>
    </row>
    <row r="2632" spans="1:48" s="27" customFormat="1" ht="17.25" customHeight="1">
      <c r="A2632" s="12"/>
      <c r="B2632" s="97" t="s">
        <v>65</v>
      </c>
      <c r="C2632" s="15" t="s">
        <v>66</v>
      </c>
      <c r="D2632" s="51"/>
      <c r="E2632" s="51"/>
      <c r="F2632" s="51"/>
      <c r="G2632" s="51"/>
      <c r="H2632" s="51"/>
      <c r="I2632" s="51"/>
      <c r="J2632" s="51"/>
      <c r="K2632" s="51"/>
      <c r="L2632" s="40">
        <v>3</v>
      </c>
      <c r="M2632" s="40">
        <v>4</v>
      </c>
      <c r="N2632" s="40">
        <v>3</v>
      </c>
      <c r="O2632" s="40">
        <v>4</v>
      </c>
      <c r="P2632" s="40">
        <v>4</v>
      </c>
      <c r="Q2632" s="39"/>
      <c r="R2632" s="39"/>
      <c r="S2632" s="39"/>
      <c r="T2632" s="48"/>
      <c r="U2632" s="48"/>
      <c r="V2632" s="48"/>
      <c r="W2632" s="48"/>
      <c r="X2632" s="48"/>
      <c r="Y2632" s="48"/>
      <c r="Z2632" s="48"/>
      <c r="AA2632" s="48"/>
      <c r="AB2632" s="48"/>
      <c r="AC2632" s="48"/>
      <c r="AD2632" s="48"/>
      <c r="AE2632" s="48"/>
      <c r="AF2632" s="48"/>
      <c r="AG2632" s="48"/>
      <c r="AH2632" s="48"/>
      <c r="AI2632" s="48"/>
      <c r="AJ2632" s="48"/>
      <c r="AK2632" s="48"/>
      <c r="AL2632" s="48"/>
      <c r="AM2632" s="48"/>
      <c r="AN2632" s="48"/>
      <c r="AO2632" s="48"/>
      <c r="AP2632" s="48"/>
      <c r="AQ2632" s="48"/>
      <c r="AR2632" s="48"/>
      <c r="AS2632" s="48"/>
      <c r="AT2632" s="48"/>
      <c r="AU2632" s="48"/>
      <c r="AV2632" s="48"/>
    </row>
    <row r="2633" spans="1:48" s="27" customFormat="1" ht="31.5" customHeight="1">
      <c r="A2633" s="12"/>
      <c r="B2633" s="97" t="s">
        <v>280</v>
      </c>
      <c r="C2633" s="66" t="s">
        <v>281</v>
      </c>
      <c r="D2633" s="51"/>
      <c r="E2633" s="51"/>
      <c r="F2633" s="51"/>
      <c r="G2633" s="51"/>
      <c r="H2633" s="51"/>
      <c r="I2633" s="51"/>
      <c r="J2633" s="51"/>
      <c r="K2633" s="51"/>
      <c r="L2633" s="40">
        <v>6</v>
      </c>
      <c r="M2633" s="40">
        <v>6</v>
      </c>
      <c r="N2633" s="40">
        <v>6</v>
      </c>
      <c r="O2633" s="40">
        <v>6</v>
      </c>
      <c r="P2633" s="40">
        <v>6</v>
      </c>
      <c r="Q2633" s="39"/>
      <c r="R2633" s="39"/>
      <c r="S2633" s="39"/>
      <c r="T2633" s="48"/>
      <c r="U2633" s="48"/>
      <c r="V2633" s="48"/>
      <c r="W2633" s="48"/>
      <c r="X2633" s="48"/>
      <c r="Y2633" s="48"/>
      <c r="Z2633" s="48"/>
      <c r="AA2633" s="48"/>
      <c r="AB2633" s="48"/>
      <c r="AC2633" s="48"/>
      <c r="AD2633" s="48"/>
      <c r="AE2633" s="48"/>
      <c r="AF2633" s="48"/>
      <c r="AG2633" s="48"/>
      <c r="AH2633" s="48"/>
      <c r="AI2633" s="48"/>
      <c r="AJ2633" s="48"/>
      <c r="AK2633" s="48"/>
      <c r="AL2633" s="48"/>
      <c r="AM2633" s="48"/>
      <c r="AN2633" s="48"/>
      <c r="AO2633" s="48"/>
      <c r="AP2633" s="48"/>
      <c r="AQ2633" s="48"/>
      <c r="AR2633" s="48"/>
      <c r="AS2633" s="48"/>
      <c r="AT2633" s="48"/>
      <c r="AU2633" s="48"/>
      <c r="AV2633" s="48"/>
    </row>
    <row r="2634" spans="1:48" s="27" customFormat="1" ht="17.25" customHeight="1">
      <c r="A2634" s="12"/>
      <c r="B2634" s="111" t="s">
        <v>422</v>
      </c>
      <c r="C2634" s="15" t="s">
        <v>423</v>
      </c>
      <c r="D2634" s="51"/>
      <c r="E2634" s="51"/>
      <c r="F2634" s="51"/>
      <c r="G2634" s="51"/>
      <c r="H2634" s="51"/>
      <c r="I2634" s="51"/>
      <c r="J2634" s="51"/>
      <c r="K2634" s="51"/>
      <c r="L2634" s="40">
        <v>4</v>
      </c>
      <c r="M2634" s="40">
        <v>4</v>
      </c>
      <c r="N2634" s="40">
        <v>4</v>
      </c>
      <c r="O2634" s="40">
        <v>4</v>
      </c>
      <c r="P2634" s="40">
        <v>4</v>
      </c>
      <c r="Q2634" s="39"/>
      <c r="R2634" s="39"/>
      <c r="S2634" s="39"/>
      <c r="T2634" s="48"/>
      <c r="U2634" s="48"/>
      <c r="V2634" s="48"/>
      <c r="W2634" s="48"/>
      <c r="X2634" s="48"/>
      <c r="Y2634" s="48"/>
      <c r="Z2634" s="48"/>
      <c r="AA2634" s="48"/>
      <c r="AB2634" s="48"/>
      <c r="AC2634" s="48"/>
      <c r="AD2634" s="48"/>
      <c r="AE2634" s="48"/>
      <c r="AF2634" s="48"/>
      <c r="AG2634" s="48"/>
      <c r="AH2634" s="48"/>
      <c r="AI2634" s="48"/>
      <c r="AJ2634" s="48"/>
      <c r="AK2634" s="48"/>
      <c r="AL2634" s="48"/>
      <c r="AM2634" s="48"/>
      <c r="AN2634" s="48"/>
      <c r="AO2634" s="48"/>
      <c r="AP2634" s="48"/>
      <c r="AQ2634" s="48"/>
      <c r="AR2634" s="48"/>
      <c r="AS2634" s="48"/>
      <c r="AT2634" s="48"/>
      <c r="AU2634" s="48"/>
      <c r="AV2634" s="48"/>
    </row>
    <row r="2635" spans="1:48" s="27" customFormat="1" ht="17.25" customHeight="1">
      <c r="A2635" s="12"/>
      <c r="B2635" s="97" t="s">
        <v>561</v>
      </c>
      <c r="C2635" s="66" t="s">
        <v>804</v>
      </c>
      <c r="D2635" s="51"/>
      <c r="E2635" s="51"/>
      <c r="F2635" s="51"/>
      <c r="G2635" s="51"/>
      <c r="H2635" s="51"/>
      <c r="I2635" s="51"/>
      <c r="J2635" s="51"/>
      <c r="K2635" s="51"/>
      <c r="L2635" s="40">
        <v>1</v>
      </c>
      <c r="M2635" s="40" t="s">
        <v>556</v>
      </c>
      <c r="N2635" s="40" t="s">
        <v>556</v>
      </c>
      <c r="O2635" s="40" t="s">
        <v>556</v>
      </c>
      <c r="P2635" s="40" t="s">
        <v>556</v>
      </c>
      <c r="Q2635" s="39"/>
      <c r="R2635" s="39"/>
      <c r="S2635" s="39"/>
      <c r="T2635" s="48"/>
      <c r="U2635" s="48"/>
      <c r="V2635" s="48"/>
      <c r="W2635" s="48"/>
      <c r="X2635" s="48"/>
      <c r="Y2635" s="48"/>
      <c r="Z2635" s="48"/>
      <c r="AA2635" s="48"/>
      <c r="AB2635" s="48"/>
      <c r="AC2635" s="48"/>
      <c r="AD2635" s="48"/>
      <c r="AE2635" s="48"/>
      <c r="AF2635" s="48"/>
      <c r="AG2635" s="48"/>
      <c r="AH2635" s="48"/>
      <c r="AI2635" s="48"/>
      <c r="AJ2635" s="48"/>
      <c r="AK2635" s="48"/>
      <c r="AL2635" s="48"/>
      <c r="AM2635" s="48"/>
      <c r="AN2635" s="48"/>
      <c r="AO2635" s="48"/>
      <c r="AP2635" s="48"/>
      <c r="AQ2635" s="48"/>
      <c r="AR2635" s="48"/>
      <c r="AS2635" s="48"/>
      <c r="AT2635" s="48"/>
      <c r="AU2635" s="48"/>
      <c r="AV2635" s="48"/>
    </row>
    <row r="2636" spans="1:48" s="27" customFormat="1" ht="17.25" customHeight="1">
      <c r="A2636" s="12"/>
      <c r="B2636" s="93" t="s">
        <v>37</v>
      </c>
      <c r="C2636" s="15"/>
      <c r="D2636" s="51"/>
      <c r="E2636" s="51"/>
      <c r="F2636" s="51"/>
      <c r="G2636" s="51"/>
      <c r="H2636" s="51"/>
      <c r="I2636" s="51"/>
      <c r="J2636" s="51"/>
      <c r="K2636" s="51"/>
      <c r="L2636" s="40"/>
      <c r="M2636" s="40"/>
      <c r="N2636" s="40"/>
      <c r="O2636" s="40"/>
      <c r="P2636" s="40"/>
      <c r="Q2636" s="39"/>
      <c r="R2636" s="39"/>
      <c r="S2636" s="39"/>
      <c r="T2636" s="48"/>
      <c r="U2636" s="48"/>
      <c r="V2636" s="48"/>
      <c r="W2636" s="48"/>
      <c r="X2636" s="48"/>
      <c r="Y2636" s="48"/>
      <c r="Z2636" s="48"/>
      <c r="AA2636" s="48"/>
      <c r="AB2636" s="48"/>
      <c r="AC2636" s="48"/>
      <c r="AD2636" s="48"/>
      <c r="AE2636" s="48"/>
      <c r="AF2636" s="48"/>
      <c r="AG2636" s="48"/>
      <c r="AH2636" s="48"/>
      <c r="AI2636" s="48"/>
      <c r="AJ2636" s="48"/>
      <c r="AK2636" s="48"/>
      <c r="AL2636" s="48"/>
      <c r="AM2636" s="48"/>
      <c r="AN2636" s="48"/>
      <c r="AO2636" s="48"/>
      <c r="AP2636" s="48"/>
      <c r="AQ2636" s="48"/>
      <c r="AR2636" s="48"/>
      <c r="AS2636" s="48"/>
      <c r="AT2636" s="48"/>
      <c r="AU2636" s="48"/>
      <c r="AV2636" s="48"/>
    </row>
    <row r="2637" spans="1:19" s="48" customFormat="1" ht="17.25" customHeight="1">
      <c r="A2637" s="12"/>
      <c r="B2637" s="97" t="s">
        <v>637</v>
      </c>
      <c r="C2637" s="15" t="s">
        <v>638</v>
      </c>
      <c r="D2637" s="40"/>
      <c r="E2637" s="40"/>
      <c r="F2637" s="40"/>
      <c r="G2637" s="40"/>
      <c r="H2637" s="40"/>
      <c r="I2637" s="40"/>
      <c r="J2637" s="40"/>
      <c r="K2637" s="40"/>
      <c r="L2637" s="40">
        <v>1</v>
      </c>
      <c r="M2637" s="40" t="s">
        <v>556</v>
      </c>
      <c r="N2637" s="40" t="s">
        <v>556</v>
      </c>
      <c r="O2637" s="40" t="s">
        <v>556</v>
      </c>
      <c r="P2637" s="40" t="s">
        <v>556</v>
      </c>
      <c r="Q2637" s="36"/>
      <c r="R2637" s="36"/>
      <c r="S2637" s="36"/>
    </row>
    <row r="2638" spans="1:19" s="48" customFormat="1" ht="17.25" customHeight="1">
      <c r="A2638" s="12"/>
      <c r="B2638" s="97"/>
      <c r="C2638" s="15"/>
      <c r="D2638" s="40"/>
      <c r="E2638" s="40"/>
      <c r="F2638" s="40"/>
      <c r="G2638" s="40"/>
      <c r="H2638" s="40"/>
      <c r="I2638" s="40"/>
      <c r="J2638" s="40"/>
      <c r="K2638" s="40"/>
      <c r="L2638" s="40"/>
      <c r="M2638" s="40"/>
      <c r="N2638" s="40"/>
      <c r="O2638" s="40"/>
      <c r="P2638" s="40"/>
      <c r="Q2638" s="36"/>
      <c r="R2638" s="36"/>
      <c r="S2638" s="36"/>
    </row>
    <row r="2639" spans="1:19" ht="18.75" customHeight="1">
      <c r="A2639" s="402" t="s">
        <v>881</v>
      </c>
      <c r="B2639" s="370"/>
      <c r="Q2639" s="36"/>
      <c r="R2639" s="36"/>
      <c r="S2639" s="37"/>
    </row>
    <row r="2640" spans="1:2" ht="17.25" customHeight="1">
      <c r="A2640" s="267" t="s">
        <v>1324</v>
      </c>
      <c r="B2640" s="105"/>
    </row>
    <row r="2641" spans="1:2" ht="17.25" customHeight="1">
      <c r="A2641" s="267" t="s">
        <v>1325</v>
      </c>
      <c r="B2641" s="105"/>
    </row>
    <row r="2642" spans="1:2" ht="17.25" customHeight="1">
      <c r="A2642" s="267" t="s">
        <v>1326</v>
      </c>
      <c r="B2642" s="105"/>
    </row>
    <row r="2643" spans="1:2" ht="17.25" customHeight="1">
      <c r="A2643" s="267" t="s">
        <v>1328</v>
      </c>
      <c r="B2643" s="105"/>
    </row>
    <row r="2644" ht="15.75">
      <c r="A2644" s="268"/>
    </row>
    <row r="2645" ht="15.75">
      <c r="A2645" s="268"/>
    </row>
  </sheetData>
  <mergeCells count="173">
    <mergeCell ref="A1624:P1624"/>
    <mergeCell ref="A1685:P1685"/>
    <mergeCell ref="A1209:P1209"/>
    <mergeCell ref="A1403:P1403"/>
    <mergeCell ref="A1458:P1458"/>
    <mergeCell ref="A1340:P1340"/>
    <mergeCell ref="A1310:P1310"/>
    <mergeCell ref="A1311:P1311"/>
    <mergeCell ref="A1339:P1339"/>
    <mergeCell ref="A1553:P1553"/>
    <mergeCell ref="A1831:P1831"/>
    <mergeCell ref="A1964:P1964"/>
    <mergeCell ref="A1965:P1965"/>
    <mergeCell ref="A1663:P1663"/>
    <mergeCell ref="A1664:P1664"/>
    <mergeCell ref="A539:P539"/>
    <mergeCell ref="A587:P587"/>
    <mergeCell ref="A588:P588"/>
    <mergeCell ref="A544:P544"/>
    <mergeCell ref="A545:P545"/>
    <mergeCell ref="A575:P575"/>
    <mergeCell ref="A566:P566"/>
    <mergeCell ref="A576:P576"/>
    <mergeCell ref="L1:P1"/>
    <mergeCell ref="A2:P2"/>
    <mergeCell ref="A6:P6"/>
    <mergeCell ref="G1:K1"/>
    <mergeCell ref="B4:B5"/>
    <mergeCell ref="D4:D5"/>
    <mergeCell ref="L4:P4"/>
    <mergeCell ref="A8:P8"/>
    <mergeCell ref="A128:P128"/>
    <mergeCell ref="A109:P109"/>
    <mergeCell ref="A119:P119"/>
    <mergeCell ref="A120:P120"/>
    <mergeCell ref="A89:P89"/>
    <mergeCell ref="A59:P59"/>
    <mergeCell ref="A90:P90"/>
    <mergeCell ref="A322:P322"/>
    <mergeCell ref="A151:P151"/>
    <mergeCell ref="A191:P191"/>
    <mergeCell ref="A192:P192"/>
    <mergeCell ref="A239:P239"/>
    <mergeCell ref="A238:P238"/>
    <mergeCell ref="A221:P221"/>
    <mergeCell ref="C4:C5"/>
    <mergeCell ref="A7:P7"/>
    <mergeCell ref="A4:A5"/>
    <mergeCell ref="E4:E5"/>
    <mergeCell ref="F4:K4"/>
    <mergeCell ref="A129:P129"/>
    <mergeCell ref="A58:P58"/>
    <mergeCell ref="A328:P328"/>
    <mergeCell ref="A594:P594"/>
    <mergeCell ref="A391:P391"/>
    <mergeCell ref="A359:P359"/>
    <mergeCell ref="A383:P383"/>
    <mergeCell ref="A405:P405"/>
    <mergeCell ref="A406:P406"/>
    <mergeCell ref="A329:P329"/>
    <mergeCell ref="A410:P410"/>
    <mergeCell ref="A411:P411"/>
    <mergeCell ref="A1208:P1208"/>
    <mergeCell ref="A1012:P1012"/>
    <mergeCell ref="A1117:P1117"/>
    <mergeCell ref="A484:P484"/>
    <mergeCell ref="A485:P485"/>
    <mergeCell ref="A550:P550"/>
    <mergeCell ref="A551:P551"/>
    <mergeCell ref="A538:P538"/>
    <mergeCell ref="A358:P358"/>
    <mergeCell ref="A382:P382"/>
    <mergeCell ref="A338:P338"/>
    <mergeCell ref="A1011:P1011"/>
    <mergeCell ref="A595:P595"/>
    <mergeCell ref="A862:P862"/>
    <mergeCell ref="A373:P373"/>
    <mergeCell ref="A593:P593"/>
    <mergeCell ref="A537:P537"/>
    <mergeCell ref="A565:P565"/>
    <mergeCell ref="A1998:P1998"/>
    <mergeCell ref="A1442:P1442"/>
    <mergeCell ref="A1443:P1443"/>
    <mergeCell ref="A1684:P1684"/>
    <mergeCell ref="A1683:P1683"/>
    <mergeCell ref="A1477:P1477"/>
    <mergeCell ref="A1495:P1495"/>
    <mergeCell ref="A1478:P1478"/>
    <mergeCell ref="A1625:P1625"/>
    <mergeCell ref="A1457:P1457"/>
    <mergeCell ref="A2282:P2282"/>
    <mergeCell ref="A2276:P2276"/>
    <mergeCell ref="A2010:P2010"/>
    <mergeCell ref="A1910:P1910"/>
    <mergeCell ref="A1911:P1911"/>
    <mergeCell ref="A1937:P1937"/>
    <mergeCell ref="A1952:P1952"/>
    <mergeCell ref="A1919:P1919"/>
    <mergeCell ref="A1938:P1938"/>
    <mergeCell ref="A2006:P2006"/>
    <mergeCell ref="A1985:P1985"/>
    <mergeCell ref="A1986:P1986"/>
    <mergeCell ref="A2267:P2267"/>
    <mergeCell ref="A2268:P2268"/>
    <mergeCell ref="A2256:P2256"/>
    <mergeCell ref="A2105:P2105"/>
    <mergeCell ref="A2136:P2136"/>
    <mergeCell ref="A2025:P2025"/>
    <mergeCell ref="A2026:P2026"/>
    <mergeCell ref="A1997:P1997"/>
    <mergeCell ref="A2277:P2277"/>
    <mergeCell ref="A2103:P2103"/>
    <mergeCell ref="A2005:P2005"/>
    <mergeCell ref="A2060:P2060"/>
    <mergeCell ref="A2011:P2011"/>
    <mergeCell ref="A2046:P2046"/>
    <mergeCell ref="A2047:P2047"/>
    <mergeCell ref="A2039:P2039"/>
    <mergeCell ref="A1977:P1977"/>
    <mergeCell ref="A2061:P2061"/>
    <mergeCell ref="A2394:P2394"/>
    <mergeCell ref="A2071:P2071"/>
    <mergeCell ref="A2104:P2104"/>
    <mergeCell ref="A2319:P2319"/>
    <mergeCell ref="A2306:P2306"/>
    <mergeCell ref="A2307:P2307"/>
    <mergeCell ref="A2344:P2344"/>
    <mergeCell ref="A2281:P2281"/>
    <mergeCell ref="A2458:P2458"/>
    <mergeCell ref="A2639:B2639"/>
    <mergeCell ref="A2560:P2560"/>
    <mergeCell ref="A2553:P2553"/>
    <mergeCell ref="A2554:P2554"/>
    <mergeCell ref="A2469:P2469"/>
    <mergeCell ref="A2529:P2529"/>
    <mergeCell ref="A2530:P2530"/>
    <mergeCell ref="A2539:P2539"/>
    <mergeCell ref="A2470:P2470"/>
    <mergeCell ref="A2540:P2540"/>
    <mergeCell ref="A2433:P2433"/>
    <mergeCell ref="A2382:P2382"/>
    <mergeCell ref="A2383:P2383"/>
    <mergeCell ref="A2411:P2411"/>
    <mergeCell ref="A2525:P2525"/>
    <mergeCell ref="A2451:P2451"/>
    <mergeCell ref="A2468:P2468"/>
    <mergeCell ref="A2450:P2450"/>
    <mergeCell ref="A2515:P2515"/>
    <mergeCell ref="A2320:P2320"/>
    <mergeCell ref="A2395:P2395"/>
    <mergeCell ref="A2432:P2432"/>
    <mergeCell ref="A2345:P2345"/>
    <mergeCell ref="A2378:P2378"/>
    <mergeCell ref="A2369:P2369"/>
    <mergeCell ref="A2368:P2368"/>
    <mergeCell ref="A2353:P2353"/>
    <mergeCell ref="A2335:P2335"/>
    <mergeCell ref="A2336:P2336"/>
    <mergeCell ref="A1592:P1592"/>
    <mergeCell ref="A1598:P1598"/>
    <mergeCell ref="A1591:P1591"/>
    <mergeCell ref="A1572:P1572"/>
    <mergeCell ref="A1573:P1573"/>
    <mergeCell ref="A1528:P1528"/>
    <mergeCell ref="A1529:P1529"/>
    <mergeCell ref="A2524:P2524"/>
    <mergeCell ref="A1613:P1613"/>
    <mergeCell ref="A1599:P1599"/>
    <mergeCell ref="A2293:P2293"/>
    <mergeCell ref="A2294:P2294"/>
    <mergeCell ref="A2257:P2257"/>
    <mergeCell ref="A1978:P1978"/>
    <mergeCell ref="A1552:P1552"/>
  </mergeCells>
  <printOptions/>
  <pageMargins left="0.2362204724409449" right="0.2362204724409449" top="0.5905511811023623" bottom="0.3937007874015748" header="0.5118110236220472" footer="0.5118110236220472"/>
  <pageSetup horizontalDpi="600" verticalDpi="600" orientation="landscape" paperSize="9" scale="98" r:id="rId1"/>
  <ignoredErrors>
    <ignoredError sqref="L1833:P1833 N2227" formulaRange="1"/>
    <ignoredError sqref="K253 F253:I2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GI416"/>
  <sheetViews>
    <sheetView tabSelected="1" view="pageBreakPreview" zoomScale="75" zoomScaleSheetLayoutView="75" workbookViewId="0" topLeftCell="A1">
      <pane ySplit="6" topLeftCell="BM205" activePane="bottomLeft" state="frozen"/>
      <selection pane="topLeft" activeCell="A1" sqref="A1"/>
      <selection pane="bottomLeft" activeCell="E222" sqref="E222"/>
    </sheetView>
  </sheetViews>
  <sheetFormatPr defaultColWidth="9.00390625" defaultRowHeight="12.75"/>
  <cols>
    <col min="1" max="1" width="4.25390625" style="10" customWidth="1"/>
    <col min="2" max="2" width="56.625" style="91" customWidth="1"/>
    <col min="3" max="3" width="10.75390625" style="14" customWidth="1"/>
    <col min="4" max="10" width="6.25390625" style="157" customWidth="1"/>
    <col min="11" max="17" width="6.25390625" style="121" customWidth="1"/>
    <col min="18" max="18" width="8.875" style="10" hidden="1" customWidth="1"/>
    <col min="19" max="19" width="11.25390625" style="10" hidden="1" customWidth="1"/>
    <col min="20" max="20" width="5.25390625" style="128" customWidth="1"/>
    <col min="21" max="24" width="5.25390625" style="129" customWidth="1"/>
    <col min="25" max="191" width="9.125" style="129" customWidth="1"/>
    <col min="192" max="16384" width="9.125" style="130" customWidth="1"/>
  </cols>
  <sheetData>
    <row r="1" spans="11:19" ht="16.5" customHeight="1">
      <c r="K1" s="418" t="s">
        <v>26</v>
      </c>
      <c r="L1" s="418"/>
      <c r="M1" s="418"/>
      <c r="N1" s="418"/>
      <c r="O1" s="418"/>
      <c r="P1" s="418"/>
      <c r="Q1" s="418"/>
      <c r="R1" s="11"/>
      <c r="S1" s="11"/>
    </row>
    <row r="2" spans="1:19" ht="41.25" customHeight="1">
      <c r="A2" s="419" t="s">
        <v>883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127"/>
      <c r="S2" s="127"/>
    </row>
    <row r="3" spans="1:19" ht="6.75" customHeight="1">
      <c r="A3" s="131"/>
      <c r="B3" s="132"/>
      <c r="C3" s="85"/>
      <c r="D3" s="158"/>
      <c r="E3" s="158"/>
      <c r="F3" s="158"/>
      <c r="G3" s="158"/>
      <c r="H3" s="158"/>
      <c r="I3" s="158"/>
      <c r="J3" s="158"/>
      <c r="K3" s="159"/>
      <c r="L3" s="159"/>
      <c r="M3" s="159"/>
      <c r="N3" s="160"/>
      <c r="O3" s="160"/>
      <c r="P3" s="160"/>
      <c r="Q3" s="160"/>
      <c r="R3" s="127"/>
      <c r="S3" s="127"/>
    </row>
    <row r="4" spans="1:20" ht="20.25" customHeight="1">
      <c r="A4" s="411" t="s">
        <v>673</v>
      </c>
      <c r="B4" s="412" t="s">
        <v>557</v>
      </c>
      <c r="C4" s="413" t="s">
        <v>23</v>
      </c>
      <c r="D4" s="410" t="s">
        <v>587</v>
      </c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127"/>
      <c r="S4" s="127"/>
      <c r="T4" s="198"/>
    </row>
    <row r="5" spans="1:191" s="135" customFormat="1" ht="18" customHeight="1">
      <c r="A5" s="411"/>
      <c r="B5" s="412"/>
      <c r="C5" s="413"/>
      <c r="D5" s="410" t="s">
        <v>24</v>
      </c>
      <c r="E5" s="410"/>
      <c r="F5" s="410"/>
      <c r="G5" s="410"/>
      <c r="H5" s="410"/>
      <c r="I5" s="410"/>
      <c r="J5" s="414"/>
      <c r="K5" s="420" t="s">
        <v>25</v>
      </c>
      <c r="L5" s="420"/>
      <c r="M5" s="420"/>
      <c r="N5" s="420"/>
      <c r="O5" s="420"/>
      <c r="P5" s="420"/>
      <c r="Q5" s="421"/>
      <c r="R5" s="133"/>
      <c r="S5" s="133"/>
      <c r="T5" s="199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</row>
    <row r="6" spans="1:191" s="10" customFormat="1" ht="28.5" customHeight="1">
      <c r="A6" s="411"/>
      <c r="B6" s="412"/>
      <c r="C6" s="413"/>
      <c r="D6" s="40" t="s">
        <v>671</v>
      </c>
      <c r="E6" s="40" t="s">
        <v>672</v>
      </c>
      <c r="F6" s="40" t="s">
        <v>15</v>
      </c>
      <c r="G6" s="40" t="s">
        <v>16</v>
      </c>
      <c r="H6" s="40" t="s">
        <v>17</v>
      </c>
      <c r="I6" s="40" t="s">
        <v>874</v>
      </c>
      <c r="J6" s="74" t="s">
        <v>875</v>
      </c>
      <c r="K6" s="73" t="s">
        <v>671</v>
      </c>
      <c r="L6" s="40" t="s">
        <v>672</v>
      </c>
      <c r="M6" s="40" t="s">
        <v>15</v>
      </c>
      <c r="N6" s="40" t="s">
        <v>16</v>
      </c>
      <c r="O6" s="40" t="s">
        <v>17</v>
      </c>
      <c r="P6" s="40" t="s">
        <v>874</v>
      </c>
      <c r="Q6" s="40" t="s">
        <v>875</v>
      </c>
      <c r="R6" s="68"/>
      <c r="S6" s="68"/>
      <c r="T6" s="200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</row>
    <row r="7" spans="1:191" s="10" customFormat="1" ht="30" customHeight="1">
      <c r="A7" s="409" t="s">
        <v>669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68"/>
      <c r="S7" s="68"/>
      <c r="T7" s="32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</row>
    <row r="8" spans="1:191" s="10" customFormat="1" ht="21" customHeight="1">
      <c r="A8" s="406" t="s">
        <v>20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68"/>
      <c r="S8" s="68"/>
      <c r="T8" s="32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</row>
    <row r="9" spans="1:28" s="136" customFormat="1" ht="17.25" customHeight="1">
      <c r="A9" s="12">
        <v>1</v>
      </c>
      <c r="B9" s="105" t="s">
        <v>975</v>
      </c>
      <c r="C9" s="15" t="s">
        <v>976</v>
      </c>
      <c r="D9" s="162" t="s">
        <v>556</v>
      </c>
      <c r="E9" s="162">
        <v>1</v>
      </c>
      <c r="F9" s="162">
        <v>2</v>
      </c>
      <c r="G9" s="162">
        <v>2</v>
      </c>
      <c r="H9" s="162" t="s">
        <v>556</v>
      </c>
      <c r="I9" s="162" t="s">
        <v>556</v>
      </c>
      <c r="J9" s="163" t="s">
        <v>556</v>
      </c>
      <c r="K9" s="161" t="s">
        <v>556</v>
      </c>
      <c r="L9" s="162">
        <f aca="true" t="shared" si="0" ref="L9:L34">E9*1.54</f>
        <v>1.54</v>
      </c>
      <c r="M9" s="162">
        <f aca="true" t="shared" si="1" ref="M9:M34">F9*1.54</f>
        <v>3.08</v>
      </c>
      <c r="N9" s="162">
        <f aca="true" t="shared" si="2" ref="N9:N33">G9*1.54</f>
        <v>3.08</v>
      </c>
      <c r="O9" s="162" t="s">
        <v>556</v>
      </c>
      <c r="P9" s="162" t="s">
        <v>556</v>
      </c>
      <c r="Q9" s="162" t="s">
        <v>556</v>
      </c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s="136" customFormat="1" ht="17.25" customHeight="1">
      <c r="A10" s="12">
        <f>A9+1</f>
        <v>2</v>
      </c>
      <c r="B10" s="105" t="s">
        <v>1032</v>
      </c>
      <c r="C10" s="15" t="s">
        <v>1033</v>
      </c>
      <c r="D10" s="162">
        <v>6</v>
      </c>
      <c r="E10" s="162">
        <v>6</v>
      </c>
      <c r="F10" s="162">
        <v>7</v>
      </c>
      <c r="G10" s="162">
        <v>6</v>
      </c>
      <c r="H10" s="162">
        <v>6</v>
      </c>
      <c r="I10" s="162">
        <f aca="true" t="shared" si="3" ref="I10:J33">H10*0.99</f>
        <v>5.9399999999999995</v>
      </c>
      <c r="J10" s="163">
        <f t="shared" si="3"/>
        <v>5.880599999999999</v>
      </c>
      <c r="K10" s="161">
        <f aca="true" t="shared" si="4" ref="K10:K37">D10*1.54</f>
        <v>9.24</v>
      </c>
      <c r="L10" s="162">
        <f t="shared" si="0"/>
        <v>9.24</v>
      </c>
      <c r="M10" s="162">
        <f t="shared" si="1"/>
        <v>10.780000000000001</v>
      </c>
      <c r="N10" s="162">
        <f t="shared" si="2"/>
        <v>9.24</v>
      </c>
      <c r="O10" s="162">
        <f aca="true" t="shared" si="5" ref="O10:O33">H10*1.54</f>
        <v>9.24</v>
      </c>
      <c r="P10" s="162">
        <f aca="true" t="shared" si="6" ref="P10:P33">I10*1.54</f>
        <v>9.147599999999999</v>
      </c>
      <c r="Q10" s="162">
        <f aca="true" t="shared" si="7" ref="Q10:Q33">J10*1.54</f>
        <v>9.056123999999999</v>
      </c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s="136" customFormat="1" ht="16.5" customHeight="1">
      <c r="A11" s="12">
        <f aca="true" t="shared" si="8" ref="A11:A36">A10+1</f>
        <v>3</v>
      </c>
      <c r="B11" s="105" t="s">
        <v>619</v>
      </c>
      <c r="C11" s="15" t="s">
        <v>1003</v>
      </c>
      <c r="D11" s="162" t="s">
        <v>998</v>
      </c>
      <c r="E11" s="162">
        <f>1+2+2-1+2+4</f>
        <v>10</v>
      </c>
      <c r="F11" s="162">
        <f>1+2+1-1+2</f>
        <v>5</v>
      </c>
      <c r="G11" s="162">
        <f>1+1</f>
        <v>2</v>
      </c>
      <c r="H11" s="162">
        <f>1+1</f>
        <v>2</v>
      </c>
      <c r="I11" s="162">
        <f t="shared" si="3"/>
        <v>1.98</v>
      </c>
      <c r="J11" s="163">
        <f t="shared" si="3"/>
        <v>1.9602</v>
      </c>
      <c r="K11" s="161" t="s">
        <v>998</v>
      </c>
      <c r="L11" s="162">
        <f t="shared" si="0"/>
        <v>15.4</v>
      </c>
      <c r="M11" s="162">
        <f t="shared" si="1"/>
        <v>7.7</v>
      </c>
      <c r="N11" s="162">
        <f t="shared" si="2"/>
        <v>3.08</v>
      </c>
      <c r="O11" s="162">
        <f t="shared" si="5"/>
        <v>3.08</v>
      </c>
      <c r="P11" s="162">
        <f t="shared" si="6"/>
        <v>3.0492</v>
      </c>
      <c r="Q11" s="162">
        <f t="shared" si="7"/>
        <v>3.018708</v>
      </c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17" s="308" customFormat="1" ht="15" customHeight="1">
      <c r="A12" s="12">
        <f t="shared" si="8"/>
        <v>4</v>
      </c>
      <c r="B12" s="97" t="s">
        <v>172</v>
      </c>
      <c r="C12" s="15" t="s">
        <v>173</v>
      </c>
      <c r="D12" s="162" t="s">
        <v>998</v>
      </c>
      <c r="E12" s="162">
        <v>10</v>
      </c>
      <c r="F12" s="162" t="s">
        <v>998</v>
      </c>
      <c r="G12" s="162" t="s">
        <v>998</v>
      </c>
      <c r="H12" s="162" t="s">
        <v>998</v>
      </c>
      <c r="I12" s="162" t="s">
        <v>998</v>
      </c>
      <c r="J12" s="197" t="s">
        <v>998</v>
      </c>
      <c r="K12" s="329" t="s">
        <v>998</v>
      </c>
      <c r="L12" s="167">
        <f>E12*1.28</f>
        <v>12.8</v>
      </c>
      <c r="M12" s="167" t="s">
        <v>998</v>
      </c>
      <c r="N12" s="167" t="s">
        <v>998</v>
      </c>
      <c r="O12" s="167" t="s">
        <v>998</v>
      </c>
      <c r="P12" s="167" t="s">
        <v>998</v>
      </c>
      <c r="Q12" s="167" t="s">
        <v>998</v>
      </c>
    </row>
    <row r="13" spans="1:19" s="313" customFormat="1" ht="30">
      <c r="A13" s="12">
        <f t="shared" si="8"/>
        <v>5</v>
      </c>
      <c r="B13" s="97" t="s">
        <v>175</v>
      </c>
      <c r="C13" s="15" t="s">
        <v>174</v>
      </c>
      <c r="D13" s="162" t="s">
        <v>998</v>
      </c>
      <c r="E13" s="162">
        <f>1+3</f>
        <v>4</v>
      </c>
      <c r="F13" s="162">
        <v>2</v>
      </c>
      <c r="G13" s="162">
        <v>2</v>
      </c>
      <c r="H13" s="162">
        <v>1</v>
      </c>
      <c r="I13" s="162" t="s">
        <v>998</v>
      </c>
      <c r="J13" s="197" t="s">
        <v>998</v>
      </c>
      <c r="K13" s="329" t="s">
        <v>998</v>
      </c>
      <c r="L13" s="167">
        <f>E13*1.28</f>
        <v>5.12</v>
      </c>
      <c r="M13" s="167" t="s">
        <v>998</v>
      </c>
      <c r="N13" s="167" t="s">
        <v>998</v>
      </c>
      <c r="O13" s="167" t="s">
        <v>998</v>
      </c>
      <c r="P13" s="167" t="s">
        <v>998</v>
      </c>
      <c r="Q13" s="167" t="s">
        <v>998</v>
      </c>
      <c r="R13" s="307" t="e">
        <f>K13*1.28</f>
        <v>#VALUE!</v>
      </c>
      <c r="S13" s="307">
        <f>L13*1.28</f>
        <v>6.5536</v>
      </c>
    </row>
    <row r="14" spans="1:28" s="138" customFormat="1" ht="15.75" customHeight="1">
      <c r="A14" s="12">
        <f t="shared" si="8"/>
        <v>6</v>
      </c>
      <c r="B14" s="97" t="s">
        <v>1334</v>
      </c>
      <c r="C14" s="15" t="s">
        <v>1335</v>
      </c>
      <c r="D14" s="162">
        <v>26</v>
      </c>
      <c r="E14" s="162">
        <f>22+15</f>
        <v>37</v>
      </c>
      <c r="F14" s="162">
        <v>21</v>
      </c>
      <c r="G14" s="162">
        <v>20</v>
      </c>
      <c r="H14" s="162">
        <v>23</v>
      </c>
      <c r="I14" s="162">
        <f t="shared" si="3"/>
        <v>22.77</v>
      </c>
      <c r="J14" s="163">
        <f t="shared" si="3"/>
        <v>22.5423</v>
      </c>
      <c r="K14" s="161">
        <f t="shared" si="4"/>
        <v>40.04</v>
      </c>
      <c r="L14" s="162">
        <f t="shared" si="0"/>
        <v>56.980000000000004</v>
      </c>
      <c r="M14" s="162">
        <f t="shared" si="1"/>
        <v>32.34</v>
      </c>
      <c r="N14" s="162">
        <f t="shared" si="2"/>
        <v>30.8</v>
      </c>
      <c r="O14" s="162">
        <f t="shared" si="5"/>
        <v>35.42</v>
      </c>
      <c r="P14" s="162">
        <f t="shared" si="6"/>
        <v>35.0658</v>
      </c>
      <c r="Q14" s="162">
        <f t="shared" si="7"/>
        <v>34.715142</v>
      </c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</row>
    <row r="15" spans="1:28" s="138" customFormat="1" ht="15.75" customHeight="1">
      <c r="A15" s="12">
        <f t="shared" si="8"/>
        <v>7</v>
      </c>
      <c r="B15" s="97" t="s">
        <v>1316</v>
      </c>
      <c r="C15" s="15" t="s">
        <v>1317</v>
      </c>
      <c r="D15" s="162">
        <f>54+2-4-5</f>
        <v>47</v>
      </c>
      <c r="E15" s="162">
        <f>41+1+2-4-5</f>
        <v>35</v>
      </c>
      <c r="F15" s="162">
        <f>43+2+1+1+1-4-5</f>
        <v>39</v>
      </c>
      <c r="G15" s="162">
        <f>37+1+1+1-4</f>
        <v>36</v>
      </c>
      <c r="H15" s="162">
        <f>41+1+1-4</f>
        <v>39</v>
      </c>
      <c r="I15" s="162">
        <f t="shared" si="3"/>
        <v>38.61</v>
      </c>
      <c r="J15" s="163">
        <f t="shared" si="3"/>
        <v>38.2239</v>
      </c>
      <c r="K15" s="161">
        <f t="shared" si="4"/>
        <v>72.38</v>
      </c>
      <c r="L15" s="162">
        <f t="shared" si="0"/>
        <v>53.9</v>
      </c>
      <c r="M15" s="162">
        <f t="shared" si="1"/>
        <v>60.06</v>
      </c>
      <c r="N15" s="162">
        <f t="shared" si="2"/>
        <v>55.44</v>
      </c>
      <c r="O15" s="162">
        <f t="shared" si="5"/>
        <v>60.06</v>
      </c>
      <c r="P15" s="162">
        <f t="shared" si="6"/>
        <v>59.4594</v>
      </c>
      <c r="Q15" s="162">
        <f t="shared" si="7"/>
        <v>58.864806</v>
      </c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</row>
    <row r="16" spans="1:28" s="138" customFormat="1" ht="15.75" customHeight="1">
      <c r="A16" s="12">
        <f t="shared" si="8"/>
        <v>8</v>
      </c>
      <c r="B16" s="97" t="s">
        <v>784</v>
      </c>
      <c r="C16" s="15" t="s">
        <v>785</v>
      </c>
      <c r="D16" s="162">
        <v>11</v>
      </c>
      <c r="E16" s="162">
        <v>4</v>
      </c>
      <c r="F16" s="162">
        <v>3</v>
      </c>
      <c r="G16" s="162">
        <v>5</v>
      </c>
      <c r="H16" s="162">
        <v>5</v>
      </c>
      <c r="I16" s="162">
        <f t="shared" si="3"/>
        <v>4.95</v>
      </c>
      <c r="J16" s="163">
        <f t="shared" si="3"/>
        <v>4.9005</v>
      </c>
      <c r="K16" s="161">
        <f t="shared" si="4"/>
        <v>16.94</v>
      </c>
      <c r="L16" s="162">
        <f t="shared" si="0"/>
        <v>6.16</v>
      </c>
      <c r="M16" s="162">
        <f t="shared" si="1"/>
        <v>4.62</v>
      </c>
      <c r="N16" s="162">
        <f t="shared" si="2"/>
        <v>7.7</v>
      </c>
      <c r="O16" s="162">
        <f t="shared" si="5"/>
        <v>7.7</v>
      </c>
      <c r="P16" s="162">
        <f t="shared" si="6"/>
        <v>7.623</v>
      </c>
      <c r="Q16" s="162">
        <f t="shared" si="7"/>
        <v>7.54677</v>
      </c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</row>
    <row r="17" spans="1:28" s="138" customFormat="1" ht="15.75" customHeight="1">
      <c r="A17" s="12">
        <f t="shared" si="8"/>
        <v>9</v>
      </c>
      <c r="B17" s="97" t="s">
        <v>644</v>
      </c>
      <c r="C17" s="15" t="s">
        <v>645</v>
      </c>
      <c r="D17" s="162">
        <f>6+2+3</f>
        <v>11</v>
      </c>
      <c r="E17" s="162">
        <f>5+1+1</f>
        <v>7</v>
      </c>
      <c r="F17" s="162">
        <v>4</v>
      </c>
      <c r="G17" s="162">
        <f>8+1</f>
        <v>9</v>
      </c>
      <c r="H17" s="162">
        <v>5</v>
      </c>
      <c r="I17" s="162">
        <f t="shared" si="3"/>
        <v>4.95</v>
      </c>
      <c r="J17" s="163">
        <f t="shared" si="3"/>
        <v>4.9005</v>
      </c>
      <c r="K17" s="161">
        <f t="shared" si="4"/>
        <v>16.94</v>
      </c>
      <c r="L17" s="162">
        <f t="shared" si="0"/>
        <v>10.780000000000001</v>
      </c>
      <c r="M17" s="162">
        <f t="shared" si="1"/>
        <v>6.16</v>
      </c>
      <c r="N17" s="162">
        <f t="shared" si="2"/>
        <v>13.86</v>
      </c>
      <c r="O17" s="162">
        <f t="shared" si="5"/>
        <v>7.7</v>
      </c>
      <c r="P17" s="162">
        <f t="shared" si="6"/>
        <v>7.623</v>
      </c>
      <c r="Q17" s="162">
        <f t="shared" si="7"/>
        <v>7.54677</v>
      </c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</row>
    <row r="18" spans="1:28" s="138" customFormat="1" ht="15.75" customHeight="1">
      <c r="A18" s="12">
        <f t="shared" si="8"/>
        <v>10</v>
      </c>
      <c r="B18" s="105" t="s">
        <v>980</v>
      </c>
      <c r="C18" s="15" t="s">
        <v>981</v>
      </c>
      <c r="D18" s="162">
        <f>13-6-2</f>
        <v>5</v>
      </c>
      <c r="E18" s="162">
        <f>10-6+1-1+6+2</f>
        <v>12</v>
      </c>
      <c r="F18" s="162">
        <f>9-6-1+3+1</f>
        <v>6</v>
      </c>
      <c r="G18" s="162">
        <f>9-6+4+1+1</f>
        <v>9</v>
      </c>
      <c r="H18" s="162">
        <f>6-6+1+2+1</f>
        <v>4</v>
      </c>
      <c r="I18" s="162">
        <f t="shared" si="3"/>
        <v>3.96</v>
      </c>
      <c r="J18" s="163">
        <f t="shared" si="3"/>
        <v>3.9204</v>
      </c>
      <c r="K18" s="161">
        <f t="shared" si="4"/>
        <v>7.7</v>
      </c>
      <c r="L18" s="162">
        <f t="shared" si="0"/>
        <v>18.48</v>
      </c>
      <c r="M18" s="162">
        <f t="shared" si="1"/>
        <v>9.24</v>
      </c>
      <c r="N18" s="162">
        <f t="shared" si="2"/>
        <v>13.86</v>
      </c>
      <c r="O18" s="162">
        <f t="shared" si="5"/>
        <v>6.16</v>
      </c>
      <c r="P18" s="162">
        <f t="shared" si="6"/>
        <v>6.0984</v>
      </c>
      <c r="Q18" s="162">
        <f t="shared" si="7"/>
        <v>6.037416</v>
      </c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</row>
    <row r="19" spans="1:28" s="138" customFormat="1" ht="15.75" customHeight="1">
      <c r="A19" s="12">
        <f t="shared" si="8"/>
        <v>11</v>
      </c>
      <c r="B19" s="105" t="s">
        <v>421</v>
      </c>
      <c r="C19" s="15" t="s">
        <v>1315</v>
      </c>
      <c r="D19" s="162">
        <f>61-14+14-1-3+3</f>
        <v>60</v>
      </c>
      <c r="E19" s="162">
        <f>34-14+10+7-1+1+4+1+39-10+30</f>
        <v>101</v>
      </c>
      <c r="F19" s="162">
        <f>27-8+5+5+2+7-10</f>
        <v>28</v>
      </c>
      <c r="G19" s="162">
        <f>27-8+6+7+1+27-10</f>
        <v>50</v>
      </c>
      <c r="H19" s="162">
        <f>45-6+3+5+1+13</f>
        <v>61</v>
      </c>
      <c r="I19" s="162">
        <f t="shared" si="3"/>
        <v>60.39</v>
      </c>
      <c r="J19" s="163">
        <f t="shared" si="3"/>
        <v>59.7861</v>
      </c>
      <c r="K19" s="161">
        <f t="shared" si="4"/>
        <v>92.4</v>
      </c>
      <c r="L19" s="162">
        <f t="shared" si="0"/>
        <v>155.54</v>
      </c>
      <c r="M19" s="162">
        <f t="shared" si="1"/>
        <v>43.120000000000005</v>
      </c>
      <c r="N19" s="162">
        <f t="shared" si="2"/>
        <v>77</v>
      </c>
      <c r="O19" s="162">
        <f t="shared" si="5"/>
        <v>93.94</v>
      </c>
      <c r="P19" s="162">
        <f t="shared" si="6"/>
        <v>93.0006</v>
      </c>
      <c r="Q19" s="162">
        <f t="shared" si="7"/>
        <v>92.070594</v>
      </c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</row>
    <row r="20" spans="1:28" s="138" customFormat="1" ht="30" customHeight="1">
      <c r="A20" s="12">
        <f t="shared" si="8"/>
        <v>12</v>
      </c>
      <c r="B20" s="97" t="s">
        <v>448</v>
      </c>
      <c r="C20" s="15" t="s">
        <v>449</v>
      </c>
      <c r="D20" s="162">
        <f>56-4+4+4-10-3+2+1</f>
        <v>50</v>
      </c>
      <c r="E20" s="162">
        <f>55-4+5+4+4-8+2-3+1</f>
        <v>56</v>
      </c>
      <c r="F20" s="162">
        <f>42-4+5+4+4-7+2+1-3+1+1</f>
        <v>46</v>
      </c>
      <c r="G20" s="162">
        <f>41-4+5+4+4-7+2-3</f>
        <v>42</v>
      </c>
      <c r="H20" s="162">
        <f>39-4+6+4+4-8+1-3</f>
        <v>39</v>
      </c>
      <c r="I20" s="162">
        <f t="shared" si="3"/>
        <v>38.61</v>
      </c>
      <c r="J20" s="163">
        <f t="shared" si="3"/>
        <v>38.2239</v>
      </c>
      <c r="K20" s="161">
        <f t="shared" si="4"/>
        <v>77</v>
      </c>
      <c r="L20" s="162">
        <f t="shared" si="0"/>
        <v>86.24000000000001</v>
      </c>
      <c r="M20" s="162">
        <f t="shared" si="1"/>
        <v>70.84</v>
      </c>
      <c r="N20" s="162">
        <f t="shared" si="2"/>
        <v>64.68</v>
      </c>
      <c r="O20" s="162">
        <f t="shared" si="5"/>
        <v>60.06</v>
      </c>
      <c r="P20" s="162">
        <f t="shared" si="6"/>
        <v>59.4594</v>
      </c>
      <c r="Q20" s="162">
        <f t="shared" si="7"/>
        <v>58.864806</v>
      </c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</row>
    <row r="21" spans="1:28" s="138" customFormat="1" ht="28.5" customHeight="1">
      <c r="A21" s="12">
        <f t="shared" si="8"/>
        <v>13</v>
      </c>
      <c r="B21" s="97" t="s">
        <v>1292</v>
      </c>
      <c r="C21" s="15" t="s">
        <v>1293</v>
      </c>
      <c r="D21" s="162">
        <f>9-5-1+1-1</f>
        <v>3</v>
      </c>
      <c r="E21" s="162">
        <f>23-20-1+4-2+1+1</f>
        <v>6</v>
      </c>
      <c r="F21" s="162">
        <f>6-1+3-2+1-1+1</f>
        <v>7</v>
      </c>
      <c r="G21" s="162">
        <f>2-1+4-1+1</f>
        <v>5</v>
      </c>
      <c r="H21" s="162">
        <f>3-1+3-1</f>
        <v>4</v>
      </c>
      <c r="I21" s="162">
        <f t="shared" si="3"/>
        <v>3.96</v>
      </c>
      <c r="J21" s="163">
        <f t="shared" si="3"/>
        <v>3.9204</v>
      </c>
      <c r="K21" s="161">
        <f t="shared" si="4"/>
        <v>4.62</v>
      </c>
      <c r="L21" s="162">
        <f t="shared" si="0"/>
        <v>9.24</v>
      </c>
      <c r="M21" s="162">
        <f t="shared" si="1"/>
        <v>10.780000000000001</v>
      </c>
      <c r="N21" s="162">
        <f t="shared" si="2"/>
        <v>7.7</v>
      </c>
      <c r="O21" s="162">
        <f t="shared" si="5"/>
        <v>6.16</v>
      </c>
      <c r="P21" s="162">
        <f t="shared" si="6"/>
        <v>6.0984</v>
      </c>
      <c r="Q21" s="162">
        <f t="shared" si="7"/>
        <v>6.037416</v>
      </c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</row>
    <row r="22" spans="1:28" s="138" customFormat="1" ht="16.5" customHeight="1">
      <c r="A22" s="12">
        <f t="shared" si="8"/>
        <v>14</v>
      </c>
      <c r="B22" s="105" t="s">
        <v>414</v>
      </c>
      <c r="C22" s="15" t="s">
        <v>1026</v>
      </c>
      <c r="D22" s="322">
        <f>33-4-4</f>
        <v>25</v>
      </c>
      <c r="E22" s="162">
        <f>26-4-5+2</f>
        <v>19</v>
      </c>
      <c r="F22" s="162">
        <f>25-3+1</f>
        <v>23</v>
      </c>
      <c r="G22" s="162">
        <f>25-3+1</f>
        <v>23</v>
      </c>
      <c r="H22" s="162">
        <f>26-3+1</f>
        <v>24</v>
      </c>
      <c r="I22" s="162">
        <f t="shared" si="3"/>
        <v>23.759999999999998</v>
      </c>
      <c r="J22" s="163">
        <f t="shared" si="3"/>
        <v>23.522399999999998</v>
      </c>
      <c r="K22" s="161">
        <f t="shared" si="4"/>
        <v>38.5</v>
      </c>
      <c r="L22" s="162">
        <f t="shared" si="0"/>
        <v>29.26</v>
      </c>
      <c r="M22" s="162">
        <f t="shared" si="1"/>
        <v>35.42</v>
      </c>
      <c r="N22" s="162">
        <f t="shared" si="2"/>
        <v>35.42</v>
      </c>
      <c r="O22" s="162">
        <f t="shared" si="5"/>
        <v>36.96</v>
      </c>
      <c r="P22" s="162">
        <f t="shared" si="6"/>
        <v>36.590399999999995</v>
      </c>
      <c r="Q22" s="162">
        <f t="shared" si="7"/>
        <v>36.224495999999995</v>
      </c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</row>
    <row r="23" spans="1:28" s="136" customFormat="1" ht="16.5" customHeight="1">
      <c r="A23" s="12">
        <f t="shared" si="8"/>
        <v>15</v>
      </c>
      <c r="B23" s="97" t="s">
        <v>1311</v>
      </c>
      <c r="C23" s="15" t="s">
        <v>1312</v>
      </c>
      <c r="D23" s="162">
        <f>3-2+2-1+2</f>
        <v>4</v>
      </c>
      <c r="E23" s="162">
        <f>3-2+1-1+2+3</f>
        <v>6</v>
      </c>
      <c r="F23" s="162">
        <f>3-2+1-1+2</f>
        <v>3</v>
      </c>
      <c r="G23" s="162">
        <f>1+2-1+2</f>
        <v>4</v>
      </c>
      <c r="H23" s="162">
        <f>1-1+2</f>
        <v>2</v>
      </c>
      <c r="I23" s="162">
        <f t="shared" si="3"/>
        <v>1.98</v>
      </c>
      <c r="J23" s="163">
        <f t="shared" si="3"/>
        <v>1.9602</v>
      </c>
      <c r="K23" s="161">
        <f t="shared" si="4"/>
        <v>6.16</v>
      </c>
      <c r="L23" s="162">
        <f t="shared" si="0"/>
        <v>9.24</v>
      </c>
      <c r="M23" s="162">
        <f t="shared" si="1"/>
        <v>4.62</v>
      </c>
      <c r="N23" s="162">
        <f t="shared" si="2"/>
        <v>6.16</v>
      </c>
      <c r="O23" s="162">
        <f t="shared" si="5"/>
        <v>3.08</v>
      </c>
      <c r="P23" s="162">
        <f t="shared" si="6"/>
        <v>3.0492</v>
      </c>
      <c r="Q23" s="162">
        <f t="shared" si="7"/>
        <v>3.018708</v>
      </c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s="136" customFormat="1" ht="16.5" customHeight="1">
      <c r="A24" s="12">
        <f t="shared" si="8"/>
        <v>16</v>
      </c>
      <c r="B24" s="97" t="s">
        <v>521</v>
      </c>
      <c r="C24" s="15" t="s">
        <v>522</v>
      </c>
      <c r="D24" s="162">
        <v>4</v>
      </c>
      <c r="E24" s="162">
        <f>6-2</f>
        <v>4</v>
      </c>
      <c r="F24" s="162">
        <v>1</v>
      </c>
      <c r="G24" s="162">
        <v>4</v>
      </c>
      <c r="H24" s="162">
        <v>4</v>
      </c>
      <c r="I24" s="162">
        <f t="shared" si="3"/>
        <v>3.96</v>
      </c>
      <c r="J24" s="163">
        <f t="shared" si="3"/>
        <v>3.9204</v>
      </c>
      <c r="K24" s="161">
        <f t="shared" si="4"/>
        <v>6.16</v>
      </c>
      <c r="L24" s="162">
        <f t="shared" si="0"/>
        <v>6.16</v>
      </c>
      <c r="M24" s="162">
        <f t="shared" si="1"/>
        <v>1.54</v>
      </c>
      <c r="N24" s="162">
        <f t="shared" si="2"/>
        <v>6.16</v>
      </c>
      <c r="O24" s="162">
        <f t="shared" si="5"/>
        <v>6.16</v>
      </c>
      <c r="P24" s="162">
        <f t="shared" si="6"/>
        <v>6.0984</v>
      </c>
      <c r="Q24" s="162">
        <f t="shared" si="7"/>
        <v>6.037416</v>
      </c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17" s="304" customFormat="1" ht="15" customHeight="1">
      <c r="A25" s="12">
        <f t="shared" si="8"/>
        <v>17</v>
      </c>
      <c r="B25" s="97" t="s">
        <v>1320</v>
      </c>
      <c r="C25" s="15" t="s">
        <v>1322</v>
      </c>
      <c r="D25" s="162">
        <f>38-14+14-1-1+2</f>
        <v>38</v>
      </c>
      <c r="E25" s="162">
        <f>27-15+9-1-2+2+2+2</f>
        <v>24</v>
      </c>
      <c r="F25" s="162">
        <f>31-15+5-1-1+1+3+1</f>
        <v>24</v>
      </c>
      <c r="G25" s="162">
        <f>28-10+5-1+1+3+1</f>
        <v>27</v>
      </c>
      <c r="H25" s="162">
        <f>24+1-5+3-1+2+1</f>
        <v>25</v>
      </c>
      <c r="I25" s="162">
        <f t="shared" si="3"/>
        <v>24.75</v>
      </c>
      <c r="J25" s="163">
        <f t="shared" si="3"/>
        <v>24.5025</v>
      </c>
      <c r="K25" s="161">
        <f t="shared" si="4"/>
        <v>58.52</v>
      </c>
      <c r="L25" s="162">
        <f t="shared" si="0"/>
        <v>36.96</v>
      </c>
      <c r="M25" s="162">
        <f t="shared" si="1"/>
        <v>36.96</v>
      </c>
      <c r="N25" s="162">
        <f t="shared" si="2"/>
        <v>41.58</v>
      </c>
      <c r="O25" s="162">
        <f t="shared" si="5"/>
        <v>38.5</v>
      </c>
      <c r="P25" s="162">
        <f t="shared" si="6"/>
        <v>38.115</v>
      </c>
      <c r="Q25" s="162">
        <f t="shared" si="7"/>
        <v>37.733850000000004</v>
      </c>
    </row>
    <row r="26" spans="1:17" s="309" customFormat="1" ht="15" customHeight="1">
      <c r="A26" s="12">
        <f t="shared" si="8"/>
        <v>18</v>
      </c>
      <c r="B26" s="97" t="s">
        <v>977</v>
      </c>
      <c r="C26" s="15" t="s">
        <v>1066</v>
      </c>
      <c r="D26" s="162" t="s">
        <v>998</v>
      </c>
      <c r="E26" s="162">
        <v>2</v>
      </c>
      <c r="F26" s="162">
        <v>1</v>
      </c>
      <c r="G26" s="162">
        <v>1</v>
      </c>
      <c r="H26" s="162">
        <v>1</v>
      </c>
      <c r="I26" s="162">
        <f t="shared" si="3"/>
        <v>0.99</v>
      </c>
      <c r="J26" s="163">
        <f t="shared" si="3"/>
        <v>0.9801</v>
      </c>
      <c r="K26" s="161" t="s">
        <v>998</v>
      </c>
      <c r="L26" s="162">
        <f aca="true" t="shared" si="9" ref="L26:Q27">E26*1.54</f>
        <v>3.08</v>
      </c>
      <c r="M26" s="162">
        <f t="shared" si="9"/>
        <v>1.54</v>
      </c>
      <c r="N26" s="162">
        <f t="shared" si="9"/>
        <v>1.54</v>
      </c>
      <c r="O26" s="162">
        <f t="shared" si="9"/>
        <v>1.54</v>
      </c>
      <c r="P26" s="162">
        <f t="shared" si="9"/>
        <v>1.5246</v>
      </c>
      <c r="Q26" s="162">
        <f t="shared" si="9"/>
        <v>1.509354</v>
      </c>
    </row>
    <row r="27" spans="1:17" s="309" customFormat="1" ht="15" customHeight="1">
      <c r="A27" s="12">
        <f t="shared" si="8"/>
        <v>19</v>
      </c>
      <c r="B27" s="97" t="s">
        <v>1118</v>
      </c>
      <c r="C27" s="15" t="s">
        <v>1121</v>
      </c>
      <c r="D27" s="162">
        <v>2</v>
      </c>
      <c r="E27" s="162">
        <v>1</v>
      </c>
      <c r="F27" s="162">
        <v>1</v>
      </c>
      <c r="G27" s="162" t="s">
        <v>998</v>
      </c>
      <c r="H27" s="162" t="s">
        <v>998</v>
      </c>
      <c r="I27" s="162" t="s">
        <v>998</v>
      </c>
      <c r="J27" s="163" t="s">
        <v>998</v>
      </c>
      <c r="K27" s="161">
        <f t="shared" si="4"/>
        <v>3.08</v>
      </c>
      <c r="L27" s="161">
        <f t="shared" si="9"/>
        <v>1.54</v>
      </c>
      <c r="M27" s="161">
        <f t="shared" si="9"/>
        <v>1.54</v>
      </c>
      <c r="N27" s="161" t="s">
        <v>998</v>
      </c>
      <c r="O27" s="161" t="s">
        <v>998</v>
      </c>
      <c r="P27" s="161" t="s">
        <v>998</v>
      </c>
      <c r="Q27" s="161" t="s">
        <v>998</v>
      </c>
    </row>
    <row r="28" spans="1:28" s="136" customFormat="1" ht="15" customHeight="1">
      <c r="A28" s="12">
        <f t="shared" si="8"/>
        <v>20</v>
      </c>
      <c r="B28" s="105" t="s">
        <v>786</v>
      </c>
      <c r="C28" s="15" t="s">
        <v>1296</v>
      </c>
      <c r="D28" s="162">
        <f>19-9+9-2+1</f>
        <v>18</v>
      </c>
      <c r="E28" s="162">
        <f>10-8+6-1+1+3</f>
        <v>11</v>
      </c>
      <c r="F28" s="162">
        <f>10-8+3-1+1+3</f>
        <v>8</v>
      </c>
      <c r="G28" s="162">
        <f>10-7+4+2+3</f>
        <v>12</v>
      </c>
      <c r="H28" s="162">
        <f>5-5+2+2</f>
        <v>4</v>
      </c>
      <c r="I28" s="162">
        <f t="shared" si="3"/>
        <v>3.96</v>
      </c>
      <c r="J28" s="163">
        <f t="shared" si="3"/>
        <v>3.9204</v>
      </c>
      <c r="K28" s="161">
        <f t="shared" si="4"/>
        <v>27.72</v>
      </c>
      <c r="L28" s="162">
        <f t="shared" si="0"/>
        <v>16.94</v>
      </c>
      <c r="M28" s="162">
        <f t="shared" si="1"/>
        <v>12.32</v>
      </c>
      <c r="N28" s="162">
        <f t="shared" si="2"/>
        <v>18.48</v>
      </c>
      <c r="O28" s="162">
        <f t="shared" si="5"/>
        <v>6.16</v>
      </c>
      <c r="P28" s="162">
        <f t="shared" si="6"/>
        <v>6.0984</v>
      </c>
      <c r="Q28" s="162">
        <f t="shared" si="7"/>
        <v>6.037416</v>
      </c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s="136" customFormat="1" ht="15" customHeight="1">
      <c r="A29" s="12">
        <f t="shared" si="8"/>
        <v>21</v>
      </c>
      <c r="B29" s="111" t="s">
        <v>424</v>
      </c>
      <c r="C29" s="66" t="s">
        <v>425</v>
      </c>
      <c r="D29" s="162">
        <v>1</v>
      </c>
      <c r="E29" s="162">
        <v>1</v>
      </c>
      <c r="F29" s="162">
        <v>1</v>
      </c>
      <c r="G29" s="162">
        <v>1</v>
      </c>
      <c r="H29" s="162">
        <v>1</v>
      </c>
      <c r="I29" s="162">
        <f t="shared" si="3"/>
        <v>0.99</v>
      </c>
      <c r="J29" s="163">
        <f t="shared" si="3"/>
        <v>0.9801</v>
      </c>
      <c r="K29" s="161">
        <f t="shared" si="4"/>
        <v>1.54</v>
      </c>
      <c r="L29" s="162">
        <f t="shared" si="0"/>
        <v>1.54</v>
      </c>
      <c r="M29" s="162">
        <f t="shared" si="1"/>
        <v>1.54</v>
      </c>
      <c r="N29" s="162">
        <f t="shared" si="2"/>
        <v>1.54</v>
      </c>
      <c r="O29" s="162">
        <f t="shared" si="5"/>
        <v>1.54</v>
      </c>
      <c r="P29" s="162">
        <f t="shared" si="6"/>
        <v>1.5246</v>
      </c>
      <c r="Q29" s="162">
        <f t="shared" si="7"/>
        <v>1.509354</v>
      </c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s="136" customFormat="1" ht="15" customHeight="1">
      <c r="A30" s="12">
        <f t="shared" si="8"/>
        <v>22</v>
      </c>
      <c r="B30" s="105" t="s">
        <v>1329</v>
      </c>
      <c r="C30" s="66" t="s">
        <v>1330</v>
      </c>
      <c r="D30" s="162">
        <v>9</v>
      </c>
      <c r="E30" s="162">
        <f>10-1</f>
        <v>9</v>
      </c>
      <c r="F30" s="162">
        <f>7+1</f>
        <v>8</v>
      </c>
      <c r="G30" s="162">
        <v>8</v>
      </c>
      <c r="H30" s="162">
        <v>7</v>
      </c>
      <c r="I30" s="162">
        <f t="shared" si="3"/>
        <v>6.93</v>
      </c>
      <c r="J30" s="163">
        <f t="shared" si="3"/>
        <v>6.8607</v>
      </c>
      <c r="K30" s="161">
        <f t="shared" si="4"/>
        <v>13.86</v>
      </c>
      <c r="L30" s="162">
        <f t="shared" si="0"/>
        <v>13.86</v>
      </c>
      <c r="M30" s="162">
        <f t="shared" si="1"/>
        <v>12.32</v>
      </c>
      <c r="N30" s="162">
        <f t="shared" si="2"/>
        <v>12.32</v>
      </c>
      <c r="O30" s="162">
        <f t="shared" si="5"/>
        <v>10.780000000000001</v>
      </c>
      <c r="P30" s="162">
        <f t="shared" si="6"/>
        <v>10.6722</v>
      </c>
      <c r="Q30" s="162">
        <f t="shared" si="7"/>
        <v>10.565477999999999</v>
      </c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s="138" customFormat="1" ht="30.75" customHeight="1">
      <c r="A31" s="12">
        <f t="shared" si="8"/>
        <v>23</v>
      </c>
      <c r="B31" s="97" t="s">
        <v>564</v>
      </c>
      <c r="C31" s="15" t="s">
        <v>565</v>
      </c>
      <c r="D31" s="162">
        <f>101-20+7+3-5+5+1-4+4-5-3-6+6</f>
        <v>84</v>
      </c>
      <c r="E31" s="162">
        <f>115-43+4+1-5+6-1+1+1-3+4-5+3-2+2-6+2+1</f>
        <v>75</v>
      </c>
      <c r="F31" s="323">
        <f>71+2+1-5+3-4+3-5+3+1-6+2+1</f>
        <v>67</v>
      </c>
      <c r="G31" s="162">
        <f>65+1-4+3-1-3+4-5+5+1-6+2</f>
        <v>62</v>
      </c>
      <c r="H31" s="162">
        <f>65+1-4+2-2+3-4+5+1-6+2</f>
        <v>63</v>
      </c>
      <c r="I31" s="162">
        <f t="shared" si="3"/>
        <v>62.37</v>
      </c>
      <c r="J31" s="163">
        <f t="shared" si="3"/>
        <v>61.7463</v>
      </c>
      <c r="K31" s="161">
        <f t="shared" si="4"/>
        <v>129.36</v>
      </c>
      <c r="L31" s="162">
        <f t="shared" si="0"/>
        <v>115.5</v>
      </c>
      <c r="M31" s="162">
        <f t="shared" si="1"/>
        <v>103.18</v>
      </c>
      <c r="N31" s="162">
        <f t="shared" si="2"/>
        <v>95.48</v>
      </c>
      <c r="O31" s="162">
        <f t="shared" si="5"/>
        <v>97.02</v>
      </c>
      <c r="P31" s="162">
        <f t="shared" si="6"/>
        <v>96.0498</v>
      </c>
      <c r="Q31" s="162">
        <f t="shared" si="7"/>
        <v>95.089302</v>
      </c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</row>
    <row r="32" spans="1:28" s="136" customFormat="1" ht="31.5" customHeight="1">
      <c r="A32" s="12">
        <f t="shared" si="8"/>
        <v>24</v>
      </c>
      <c r="B32" s="97" t="s">
        <v>10</v>
      </c>
      <c r="C32" s="15" t="s">
        <v>28</v>
      </c>
      <c r="D32" s="162">
        <f>27-3</f>
        <v>24</v>
      </c>
      <c r="E32" s="162">
        <f>10-1</f>
        <v>9</v>
      </c>
      <c r="F32" s="162">
        <v>9</v>
      </c>
      <c r="G32" s="162">
        <v>13</v>
      </c>
      <c r="H32" s="162">
        <v>12</v>
      </c>
      <c r="I32" s="162">
        <f t="shared" si="3"/>
        <v>11.879999999999999</v>
      </c>
      <c r="J32" s="163">
        <f t="shared" si="3"/>
        <v>11.761199999999999</v>
      </c>
      <c r="K32" s="161">
        <f t="shared" si="4"/>
        <v>36.96</v>
      </c>
      <c r="L32" s="162">
        <f t="shared" si="0"/>
        <v>13.86</v>
      </c>
      <c r="M32" s="162">
        <f t="shared" si="1"/>
        <v>13.86</v>
      </c>
      <c r="N32" s="162">
        <f t="shared" si="2"/>
        <v>20.02</v>
      </c>
      <c r="O32" s="162">
        <f t="shared" si="5"/>
        <v>18.48</v>
      </c>
      <c r="P32" s="162">
        <f t="shared" si="6"/>
        <v>18.295199999999998</v>
      </c>
      <c r="Q32" s="162">
        <f t="shared" si="7"/>
        <v>18.112247999999997</v>
      </c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s="138" customFormat="1" ht="15" customHeight="1">
      <c r="A33" s="12">
        <f t="shared" si="8"/>
        <v>25</v>
      </c>
      <c r="B33" s="97" t="s">
        <v>1294</v>
      </c>
      <c r="C33" s="15" t="s">
        <v>1295</v>
      </c>
      <c r="D33" s="162">
        <v>1</v>
      </c>
      <c r="E33" s="162">
        <v>1</v>
      </c>
      <c r="F33" s="162">
        <v>1</v>
      </c>
      <c r="G33" s="162">
        <v>1</v>
      </c>
      <c r="H33" s="162">
        <v>1</v>
      </c>
      <c r="I33" s="162">
        <f t="shared" si="3"/>
        <v>0.99</v>
      </c>
      <c r="J33" s="163">
        <f t="shared" si="3"/>
        <v>0.9801</v>
      </c>
      <c r="K33" s="161">
        <f t="shared" si="4"/>
        <v>1.54</v>
      </c>
      <c r="L33" s="162">
        <f t="shared" si="0"/>
        <v>1.54</v>
      </c>
      <c r="M33" s="162">
        <f t="shared" si="1"/>
        <v>1.54</v>
      </c>
      <c r="N33" s="162">
        <f t="shared" si="2"/>
        <v>1.54</v>
      </c>
      <c r="O33" s="162">
        <f t="shared" si="5"/>
        <v>1.54</v>
      </c>
      <c r="P33" s="162">
        <f t="shared" si="6"/>
        <v>1.5246</v>
      </c>
      <c r="Q33" s="162">
        <f t="shared" si="7"/>
        <v>1.509354</v>
      </c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</row>
    <row r="34" spans="1:28" s="136" customFormat="1" ht="15" customHeight="1">
      <c r="A34" s="12">
        <f t="shared" si="8"/>
        <v>26</v>
      </c>
      <c r="B34" s="97" t="s">
        <v>629</v>
      </c>
      <c r="C34" s="15" t="s">
        <v>787</v>
      </c>
      <c r="D34" s="162">
        <f>10-2</f>
        <v>8</v>
      </c>
      <c r="E34" s="162">
        <f>6-1</f>
        <v>5</v>
      </c>
      <c r="F34" s="162">
        <f>7-2</f>
        <v>5</v>
      </c>
      <c r="G34" s="162" t="s">
        <v>998</v>
      </c>
      <c r="H34" s="162" t="s">
        <v>556</v>
      </c>
      <c r="I34" s="162" t="s">
        <v>556</v>
      </c>
      <c r="J34" s="163" t="s">
        <v>556</v>
      </c>
      <c r="K34" s="161">
        <f t="shared" si="4"/>
        <v>12.32</v>
      </c>
      <c r="L34" s="162">
        <f t="shared" si="0"/>
        <v>7.7</v>
      </c>
      <c r="M34" s="162">
        <f t="shared" si="1"/>
        <v>7.7</v>
      </c>
      <c r="N34" s="162" t="s">
        <v>998</v>
      </c>
      <c r="O34" s="162" t="s">
        <v>556</v>
      </c>
      <c r="P34" s="162" t="s">
        <v>556</v>
      </c>
      <c r="Q34" s="162" t="s">
        <v>556</v>
      </c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s="136" customFormat="1" ht="15" customHeight="1">
      <c r="A35" s="12">
        <f t="shared" si="8"/>
        <v>27</v>
      </c>
      <c r="B35" s="97" t="s">
        <v>1105</v>
      </c>
      <c r="C35" s="15" t="s">
        <v>601</v>
      </c>
      <c r="D35" s="162">
        <v>2</v>
      </c>
      <c r="E35" s="162">
        <v>1</v>
      </c>
      <c r="F35" s="162">
        <v>1</v>
      </c>
      <c r="G35" s="162">
        <v>2</v>
      </c>
      <c r="H35" s="162" t="s">
        <v>998</v>
      </c>
      <c r="I35" s="162" t="s">
        <v>998</v>
      </c>
      <c r="J35" s="163" t="s">
        <v>998</v>
      </c>
      <c r="K35" s="161">
        <f>D35*1.54</f>
        <v>3.08</v>
      </c>
      <c r="L35" s="162">
        <f>E35*1.54</f>
        <v>1.54</v>
      </c>
      <c r="M35" s="162">
        <f>F35*1.54</f>
        <v>1.54</v>
      </c>
      <c r="N35" s="162">
        <f>G35*1.54</f>
        <v>3.08</v>
      </c>
      <c r="O35" s="162" t="s">
        <v>556</v>
      </c>
      <c r="P35" s="162" t="s">
        <v>556</v>
      </c>
      <c r="Q35" s="162" t="s">
        <v>556</v>
      </c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s="138" customFormat="1" ht="15" customHeight="1">
      <c r="A36" s="12">
        <f t="shared" si="8"/>
        <v>28</v>
      </c>
      <c r="B36" s="105" t="s">
        <v>464</v>
      </c>
      <c r="C36" s="15" t="s">
        <v>465</v>
      </c>
      <c r="D36" s="162">
        <v>1</v>
      </c>
      <c r="E36" s="162">
        <v>1</v>
      </c>
      <c r="F36" s="162">
        <v>1</v>
      </c>
      <c r="G36" s="162" t="s">
        <v>556</v>
      </c>
      <c r="H36" s="162">
        <v>2</v>
      </c>
      <c r="I36" s="162">
        <f>H36*0.99</f>
        <v>1.98</v>
      </c>
      <c r="J36" s="163">
        <f>I36*0.99</f>
        <v>1.9602</v>
      </c>
      <c r="K36" s="161">
        <f t="shared" si="4"/>
        <v>1.54</v>
      </c>
      <c r="L36" s="162">
        <f>E36*1.54</f>
        <v>1.54</v>
      </c>
      <c r="M36" s="162">
        <f>F36*1.54</f>
        <v>1.54</v>
      </c>
      <c r="N36" s="162" t="s">
        <v>556</v>
      </c>
      <c r="O36" s="162">
        <f aca="true" t="shared" si="10" ref="O36:Q37">H36*1.54</f>
        <v>3.08</v>
      </c>
      <c r="P36" s="162">
        <f t="shared" si="10"/>
        <v>3.0492</v>
      </c>
      <c r="Q36" s="162">
        <f t="shared" si="10"/>
        <v>3.018708</v>
      </c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</row>
    <row r="37" spans="1:17" s="120" customFormat="1" ht="15" customHeight="1">
      <c r="A37" s="12">
        <f>A36+1</f>
        <v>29</v>
      </c>
      <c r="B37" s="105" t="s">
        <v>527</v>
      </c>
      <c r="C37" s="15" t="s">
        <v>528</v>
      </c>
      <c r="D37" s="162">
        <v>32</v>
      </c>
      <c r="E37" s="162">
        <v>32</v>
      </c>
      <c r="F37" s="162">
        <v>31</v>
      </c>
      <c r="G37" s="162">
        <v>32</v>
      </c>
      <c r="H37" s="162">
        <v>32</v>
      </c>
      <c r="I37" s="162">
        <f>H37*0.99</f>
        <v>31.68</v>
      </c>
      <c r="J37" s="163">
        <f>I37*0.99</f>
        <v>31.3632</v>
      </c>
      <c r="K37" s="161">
        <f t="shared" si="4"/>
        <v>49.28</v>
      </c>
      <c r="L37" s="162">
        <f>E37*1.54</f>
        <v>49.28</v>
      </c>
      <c r="M37" s="162">
        <f>F37*1.54</f>
        <v>47.74</v>
      </c>
      <c r="N37" s="162">
        <f>G37*1.54</f>
        <v>49.28</v>
      </c>
      <c r="O37" s="162">
        <f t="shared" si="10"/>
        <v>49.28</v>
      </c>
      <c r="P37" s="162">
        <f t="shared" si="10"/>
        <v>48.7872</v>
      </c>
      <c r="Q37" s="162">
        <f t="shared" si="10"/>
        <v>48.299328</v>
      </c>
    </row>
    <row r="38" spans="1:19" ht="16.5" customHeight="1">
      <c r="A38" s="406" t="s">
        <v>628</v>
      </c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139"/>
      <c r="S38" s="139"/>
    </row>
    <row r="39" spans="1:28" s="136" customFormat="1" ht="15.75" customHeight="1">
      <c r="A39" s="12">
        <f>A37+1</f>
        <v>30</v>
      </c>
      <c r="B39" s="97" t="s">
        <v>635</v>
      </c>
      <c r="C39" s="15" t="s">
        <v>636</v>
      </c>
      <c r="D39" s="162">
        <f>408-400+45</f>
        <v>53</v>
      </c>
      <c r="E39" s="162">
        <f>149+3-145+35</f>
        <v>42</v>
      </c>
      <c r="F39" s="162">
        <f>7+2+8</f>
        <v>17</v>
      </c>
      <c r="G39" s="162">
        <f>3+2+8</f>
        <v>13</v>
      </c>
      <c r="H39" s="162">
        <f>2+2+8</f>
        <v>12</v>
      </c>
      <c r="I39" s="162">
        <f aca="true" t="shared" si="11" ref="I39:J56">H39*0.99</f>
        <v>11.879999999999999</v>
      </c>
      <c r="J39" s="163">
        <f t="shared" si="11"/>
        <v>11.761199999999999</v>
      </c>
      <c r="K39" s="166">
        <f aca="true" t="shared" si="12" ref="K39:Q47">D39*1.28</f>
        <v>67.84</v>
      </c>
      <c r="L39" s="167">
        <f t="shared" si="12"/>
        <v>53.76</v>
      </c>
      <c r="M39" s="167">
        <f t="shared" si="12"/>
        <v>21.76</v>
      </c>
      <c r="N39" s="167">
        <f t="shared" si="12"/>
        <v>16.64</v>
      </c>
      <c r="O39" s="167">
        <f t="shared" si="12"/>
        <v>15.36</v>
      </c>
      <c r="P39" s="167">
        <f t="shared" si="12"/>
        <v>15.206399999999999</v>
      </c>
      <c r="Q39" s="167">
        <f t="shared" si="12"/>
        <v>15.054336</v>
      </c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s="136" customFormat="1" ht="15.75" customHeight="1">
      <c r="A40" s="12">
        <f>A39+1</f>
        <v>31</v>
      </c>
      <c r="B40" s="97" t="s">
        <v>1049</v>
      </c>
      <c r="C40" s="15" t="s">
        <v>1050</v>
      </c>
      <c r="D40" s="162">
        <f>35-1</f>
        <v>34</v>
      </c>
      <c r="E40" s="162">
        <f>38-2</f>
        <v>36</v>
      </c>
      <c r="F40" s="162">
        <f>25-5</f>
        <v>20</v>
      </c>
      <c r="G40" s="162">
        <f>16-3</f>
        <v>13</v>
      </c>
      <c r="H40" s="162">
        <f>14-4</f>
        <v>10</v>
      </c>
      <c r="I40" s="162">
        <f t="shared" si="11"/>
        <v>9.9</v>
      </c>
      <c r="J40" s="163">
        <f t="shared" si="11"/>
        <v>9.801</v>
      </c>
      <c r="K40" s="166">
        <f t="shared" si="12"/>
        <v>43.52</v>
      </c>
      <c r="L40" s="167">
        <f t="shared" si="12"/>
        <v>46.08</v>
      </c>
      <c r="M40" s="167">
        <f t="shared" si="12"/>
        <v>25.6</v>
      </c>
      <c r="N40" s="167">
        <f t="shared" si="12"/>
        <v>16.64</v>
      </c>
      <c r="O40" s="167">
        <f t="shared" si="12"/>
        <v>12.8</v>
      </c>
      <c r="P40" s="167">
        <f t="shared" si="12"/>
        <v>12.672</v>
      </c>
      <c r="Q40" s="167">
        <f t="shared" si="12"/>
        <v>12.54528</v>
      </c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28" s="138" customFormat="1" ht="15.75" customHeight="1">
      <c r="A41" s="12">
        <f aca="true" t="shared" si="13" ref="A41:A56">A40+1</f>
        <v>32</v>
      </c>
      <c r="B41" s="97" t="s">
        <v>1047</v>
      </c>
      <c r="C41" s="15" t="s">
        <v>1048</v>
      </c>
      <c r="D41" s="162">
        <v>21</v>
      </c>
      <c r="E41" s="162">
        <v>26</v>
      </c>
      <c r="F41" s="162">
        <v>27</v>
      </c>
      <c r="G41" s="162">
        <f>16+5</f>
        <v>21</v>
      </c>
      <c r="H41" s="162">
        <v>18</v>
      </c>
      <c r="I41" s="162">
        <f t="shared" si="11"/>
        <v>17.82</v>
      </c>
      <c r="J41" s="163">
        <f t="shared" si="11"/>
        <v>17.6418</v>
      </c>
      <c r="K41" s="166">
        <f t="shared" si="12"/>
        <v>26.88</v>
      </c>
      <c r="L41" s="167">
        <f t="shared" si="12"/>
        <v>33.28</v>
      </c>
      <c r="M41" s="167">
        <f t="shared" si="12"/>
        <v>34.56</v>
      </c>
      <c r="N41" s="167">
        <f t="shared" si="12"/>
        <v>26.88</v>
      </c>
      <c r="O41" s="167">
        <f t="shared" si="12"/>
        <v>23.04</v>
      </c>
      <c r="P41" s="167">
        <f t="shared" si="12"/>
        <v>22.8096</v>
      </c>
      <c r="Q41" s="167">
        <f t="shared" si="12"/>
        <v>22.581504</v>
      </c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</row>
    <row r="42" spans="1:28" s="138" customFormat="1" ht="15.75" customHeight="1">
      <c r="A42" s="12">
        <f t="shared" si="13"/>
        <v>33</v>
      </c>
      <c r="B42" s="97" t="s">
        <v>547</v>
      </c>
      <c r="C42" s="15" t="s">
        <v>548</v>
      </c>
      <c r="D42" s="162">
        <v>8</v>
      </c>
      <c r="E42" s="162">
        <v>5</v>
      </c>
      <c r="F42" s="162">
        <v>5</v>
      </c>
      <c r="G42" s="162">
        <v>4</v>
      </c>
      <c r="H42" s="162">
        <v>4</v>
      </c>
      <c r="I42" s="162">
        <f t="shared" si="11"/>
        <v>3.96</v>
      </c>
      <c r="J42" s="163">
        <f t="shared" si="11"/>
        <v>3.9204</v>
      </c>
      <c r="K42" s="166">
        <f t="shared" si="12"/>
        <v>10.24</v>
      </c>
      <c r="L42" s="167">
        <f t="shared" si="12"/>
        <v>6.4</v>
      </c>
      <c r="M42" s="167">
        <f t="shared" si="12"/>
        <v>6.4</v>
      </c>
      <c r="N42" s="167">
        <f t="shared" si="12"/>
        <v>5.12</v>
      </c>
      <c r="O42" s="167">
        <f t="shared" si="12"/>
        <v>5.12</v>
      </c>
      <c r="P42" s="167">
        <f t="shared" si="12"/>
        <v>5.0688</v>
      </c>
      <c r="Q42" s="167">
        <f t="shared" si="12"/>
        <v>5.018112</v>
      </c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</row>
    <row r="43" spans="1:28" s="138" customFormat="1" ht="15.75" customHeight="1">
      <c r="A43" s="12">
        <f t="shared" si="13"/>
        <v>34</v>
      </c>
      <c r="B43" s="97" t="s">
        <v>1051</v>
      </c>
      <c r="C43" s="15" t="s">
        <v>1052</v>
      </c>
      <c r="D43" s="162">
        <f>34+4+5+2</f>
        <v>45</v>
      </c>
      <c r="E43" s="162">
        <f>32+4+4+1</f>
        <v>41</v>
      </c>
      <c r="F43" s="162">
        <f>32+2+2+1</f>
        <v>37</v>
      </c>
      <c r="G43" s="162">
        <f>25+2+2+1</f>
        <v>30</v>
      </c>
      <c r="H43" s="162">
        <f>26+3+2+1</f>
        <v>32</v>
      </c>
      <c r="I43" s="162">
        <f t="shared" si="11"/>
        <v>31.68</v>
      </c>
      <c r="J43" s="163">
        <f t="shared" si="11"/>
        <v>31.3632</v>
      </c>
      <c r="K43" s="166">
        <f t="shared" si="12"/>
        <v>57.6</v>
      </c>
      <c r="L43" s="167">
        <f t="shared" si="12"/>
        <v>52.480000000000004</v>
      </c>
      <c r="M43" s="167">
        <f t="shared" si="12"/>
        <v>47.36</v>
      </c>
      <c r="N43" s="167">
        <f t="shared" si="12"/>
        <v>38.4</v>
      </c>
      <c r="O43" s="167">
        <f t="shared" si="12"/>
        <v>40.96</v>
      </c>
      <c r="P43" s="167">
        <f t="shared" si="12"/>
        <v>40.5504</v>
      </c>
      <c r="Q43" s="167">
        <f t="shared" si="12"/>
        <v>40.144896</v>
      </c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</row>
    <row r="44" spans="1:28" s="138" customFormat="1" ht="15.75" customHeight="1">
      <c r="A44" s="12">
        <f t="shared" si="13"/>
        <v>35</v>
      </c>
      <c r="B44" s="97" t="s">
        <v>634</v>
      </c>
      <c r="C44" s="15" t="s">
        <v>639</v>
      </c>
      <c r="D44" s="162">
        <f>34-32+9</f>
        <v>11</v>
      </c>
      <c r="E44" s="162">
        <f>34+1-31+8</f>
        <v>12</v>
      </c>
      <c r="F44" s="162">
        <f>1+2</f>
        <v>3</v>
      </c>
      <c r="G44" s="162">
        <f>1+2</f>
        <v>3</v>
      </c>
      <c r="H44" s="162">
        <f>2+2</f>
        <v>4</v>
      </c>
      <c r="I44" s="162">
        <f t="shared" si="11"/>
        <v>3.96</v>
      </c>
      <c r="J44" s="163">
        <f t="shared" si="11"/>
        <v>3.9204</v>
      </c>
      <c r="K44" s="166">
        <f t="shared" si="12"/>
        <v>14.08</v>
      </c>
      <c r="L44" s="167">
        <f t="shared" si="12"/>
        <v>15.36</v>
      </c>
      <c r="M44" s="167">
        <f t="shared" si="12"/>
        <v>3.84</v>
      </c>
      <c r="N44" s="167">
        <f t="shared" si="12"/>
        <v>3.84</v>
      </c>
      <c r="O44" s="167">
        <f t="shared" si="12"/>
        <v>5.12</v>
      </c>
      <c r="P44" s="167">
        <f t="shared" si="12"/>
        <v>5.0688</v>
      </c>
      <c r="Q44" s="167">
        <f t="shared" si="12"/>
        <v>5.018112</v>
      </c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</row>
    <row r="45" spans="1:28" s="138" customFormat="1" ht="15.75" customHeight="1">
      <c r="A45" s="12">
        <f t="shared" si="13"/>
        <v>36</v>
      </c>
      <c r="B45" s="97" t="s">
        <v>560</v>
      </c>
      <c r="C45" s="15" t="s">
        <v>741</v>
      </c>
      <c r="D45" s="162">
        <f>23-1+95+10</f>
        <v>127</v>
      </c>
      <c r="E45" s="162">
        <f>16-1+2+65+4</f>
        <v>86</v>
      </c>
      <c r="F45" s="162">
        <f>13-2+2+30+3</f>
        <v>46</v>
      </c>
      <c r="G45" s="162">
        <f>13-1+2+10+1</f>
        <v>25</v>
      </c>
      <c r="H45" s="162">
        <f>12-1+2+10+1</f>
        <v>24</v>
      </c>
      <c r="I45" s="162">
        <f t="shared" si="11"/>
        <v>23.759999999999998</v>
      </c>
      <c r="J45" s="163">
        <f t="shared" si="11"/>
        <v>23.522399999999998</v>
      </c>
      <c r="K45" s="166">
        <f t="shared" si="12"/>
        <v>162.56</v>
      </c>
      <c r="L45" s="167">
        <f t="shared" si="12"/>
        <v>110.08</v>
      </c>
      <c r="M45" s="167">
        <f t="shared" si="12"/>
        <v>58.88</v>
      </c>
      <c r="N45" s="167">
        <f t="shared" si="12"/>
        <v>32</v>
      </c>
      <c r="O45" s="167">
        <f t="shared" si="12"/>
        <v>30.72</v>
      </c>
      <c r="P45" s="167">
        <f t="shared" si="12"/>
        <v>30.412799999999997</v>
      </c>
      <c r="Q45" s="167">
        <f t="shared" si="12"/>
        <v>30.108672</v>
      </c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</row>
    <row r="46" spans="1:28" s="138" customFormat="1" ht="15.75" customHeight="1">
      <c r="A46" s="12">
        <f t="shared" si="13"/>
        <v>37</v>
      </c>
      <c r="B46" s="97" t="s">
        <v>1054</v>
      </c>
      <c r="C46" s="15" t="s">
        <v>264</v>
      </c>
      <c r="D46" s="162">
        <f>1</f>
        <v>1</v>
      </c>
      <c r="E46" s="162">
        <f>1</f>
        <v>1</v>
      </c>
      <c r="F46" s="162">
        <f>1</f>
        <v>1</v>
      </c>
      <c r="G46" s="162">
        <f>1</f>
        <v>1</v>
      </c>
      <c r="H46" s="162">
        <f>1</f>
        <v>1</v>
      </c>
      <c r="I46" s="162">
        <f t="shared" si="11"/>
        <v>0.99</v>
      </c>
      <c r="J46" s="163">
        <f t="shared" si="11"/>
        <v>0.9801</v>
      </c>
      <c r="K46" s="166">
        <f t="shared" si="12"/>
        <v>1.28</v>
      </c>
      <c r="L46" s="167">
        <f t="shared" si="12"/>
        <v>1.28</v>
      </c>
      <c r="M46" s="167">
        <f t="shared" si="12"/>
        <v>1.28</v>
      </c>
      <c r="N46" s="167">
        <f t="shared" si="12"/>
        <v>1.28</v>
      </c>
      <c r="O46" s="167">
        <f t="shared" si="12"/>
        <v>1.28</v>
      </c>
      <c r="P46" s="167">
        <f t="shared" si="12"/>
        <v>1.2672</v>
      </c>
      <c r="Q46" s="167">
        <f t="shared" si="12"/>
        <v>1.254528</v>
      </c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</row>
    <row r="47" spans="1:28" s="138" customFormat="1" ht="31.5" customHeight="1">
      <c r="A47" s="12">
        <f t="shared" si="13"/>
        <v>38</v>
      </c>
      <c r="B47" s="97" t="s">
        <v>595</v>
      </c>
      <c r="C47" s="15" t="s">
        <v>596</v>
      </c>
      <c r="D47" s="162">
        <v>3</v>
      </c>
      <c r="E47" s="162">
        <v>7</v>
      </c>
      <c r="F47" s="162" t="s">
        <v>556</v>
      </c>
      <c r="G47" s="162" t="s">
        <v>556</v>
      </c>
      <c r="H47" s="162">
        <v>1</v>
      </c>
      <c r="I47" s="162">
        <f t="shared" si="11"/>
        <v>0.99</v>
      </c>
      <c r="J47" s="163">
        <f t="shared" si="11"/>
        <v>0.9801</v>
      </c>
      <c r="K47" s="166">
        <f aca="true" t="shared" si="14" ref="K47:K55">D47*1.28</f>
        <v>3.84</v>
      </c>
      <c r="L47" s="167">
        <f t="shared" si="12"/>
        <v>8.96</v>
      </c>
      <c r="M47" s="162" t="s">
        <v>556</v>
      </c>
      <c r="N47" s="162" t="s">
        <v>556</v>
      </c>
      <c r="O47" s="167">
        <f aca="true" t="shared" si="15" ref="O47:Q49">H47*1.28</f>
        <v>1.28</v>
      </c>
      <c r="P47" s="167">
        <f t="shared" si="15"/>
        <v>1.2672</v>
      </c>
      <c r="Q47" s="167">
        <f t="shared" si="15"/>
        <v>1.254528</v>
      </c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</row>
    <row r="48" spans="1:28" s="138" customFormat="1" ht="18.75" customHeight="1">
      <c r="A48" s="12">
        <f t="shared" si="13"/>
        <v>39</v>
      </c>
      <c r="B48" s="97" t="s">
        <v>1306</v>
      </c>
      <c r="C48" s="15" t="s">
        <v>1307</v>
      </c>
      <c r="D48" s="162">
        <v>2</v>
      </c>
      <c r="E48" s="162">
        <v>2</v>
      </c>
      <c r="F48" s="162">
        <v>3</v>
      </c>
      <c r="G48" s="162">
        <v>2</v>
      </c>
      <c r="H48" s="162">
        <v>2</v>
      </c>
      <c r="I48" s="162">
        <f t="shared" si="11"/>
        <v>1.98</v>
      </c>
      <c r="J48" s="163">
        <f t="shared" si="11"/>
        <v>1.9602</v>
      </c>
      <c r="K48" s="166">
        <f t="shared" si="14"/>
        <v>2.56</v>
      </c>
      <c r="L48" s="167">
        <f aca="true" t="shared" si="16" ref="L48:N49">E48*1.28</f>
        <v>2.56</v>
      </c>
      <c r="M48" s="167">
        <f t="shared" si="16"/>
        <v>3.84</v>
      </c>
      <c r="N48" s="167">
        <f t="shared" si="16"/>
        <v>2.56</v>
      </c>
      <c r="O48" s="167">
        <f t="shared" si="15"/>
        <v>2.56</v>
      </c>
      <c r="P48" s="167">
        <f t="shared" si="15"/>
        <v>2.5344</v>
      </c>
      <c r="Q48" s="167">
        <f t="shared" si="15"/>
        <v>2.509056</v>
      </c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</row>
    <row r="49" spans="1:28" s="138" customFormat="1" ht="18.75" customHeight="1">
      <c r="A49" s="12">
        <f t="shared" si="13"/>
        <v>40</v>
      </c>
      <c r="B49" s="97" t="s">
        <v>594</v>
      </c>
      <c r="C49" s="15" t="s">
        <v>783</v>
      </c>
      <c r="D49" s="162">
        <f>65-4-1</f>
        <v>60</v>
      </c>
      <c r="E49" s="162">
        <f>50-4-2</f>
        <v>44</v>
      </c>
      <c r="F49" s="162">
        <f>45-3-1</f>
        <v>41</v>
      </c>
      <c r="G49" s="162">
        <f>41-4-1</f>
        <v>36</v>
      </c>
      <c r="H49" s="162">
        <f>43-4-2</f>
        <v>37</v>
      </c>
      <c r="I49" s="162">
        <f t="shared" si="11"/>
        <v>36.63</v>
      </c>
      <c r="J49" s="163">
        <f t="shared" si="11"/>
        <v>36.2637</v>
      </c>
      <c r="K49" s="166">
        <f t="shared" si="14"/>
        <v>76.8</v>
      </c>
      <c r="L49" s="167">
        <f t="shared" si="16"/>
        <v>56.32</v>
      </c>
      <c r="M49" s="167">
        <f t="shared" si="16"/>
        <v>52.480000000000004</v>
      </c>
      <c r="N49" s="167">
        <f t="shared" si="16"/>
        <v>46.08</v>
      </c>
      <c r="O49" s="167">
        <f t="shared" si="15"/>
        <v>47.36</v>
      </c>
      <c r="P49" s="167">
        <f t="shared" si="15"/>
        <v>46.8864</v>
      </c>
      <c r="Q49" s="167">
        <f t="shared" si="15"/>
        <v>46.417536</v>
      </c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</row>
    <row r="50" spans="1:17" s="306" customFormat="1" ht="18.75" customHeight="1">
      <c r="A50" s="12">
        <f t="shared" si="13"/>
        <v>41</v>
      </c>
      <c r="B50" s="97" t="s">
        <v>260</v>
      </c>
      <c r="C50" s="15" t="s">
        <v>261</v>
      </c>
      <c r="D50" s="162">
        <f>135+6</f>
        <v>141</v>
      </c>
      <c r="E50" s="162">
        <f>78+5</f>
        <v>83</v>
      </c>
      <c r="F50" s="162">
        <f>25+4</f>
        <v>29</v>
      </c>
      <c r="G50" s="162">
        <f>25+4</f>
        <v>29</v>
      </c>
      <c r="H50" s="162">
        <f>25+4</f>
        <v>29</v>
      </c>
      <c r="I50" s="162">
        <f t="shared" si="11"/>
        <v>28.71</v>
      </c>
      <c r="J50" s="163">
        <f t="shared" si="11"/>
        <v>28.422900000000002</v>
      </c>
      <c r="K50" s="166">
        <f t="shared" si="14"/>
        <v>180.48</v>
      </c>
      <c r="L50" s="167">
        <f aca="true" t="shared" si="17" ref="L50:Q53">E50*1.28</f>
        <v>106.24000000000001</v>
      </c>
      <c r="M50" s="167">
        <f t="shared" si="17"/>
        <v>37.12</v>
      </c>
      <c r="N50" s="167">
        <f t="shared" si="17"/>
        <v>37.12</v>
      </c>
      <c r="O50" s="167">
        <f t="shared" si="17"/>
        <v>37.12</v>
      </c>
      <c r="P50" s="167">
        <f t="shared" si="17"/>
        <v>36.7488</v>
      </c>
      <c r="Q50" s="167">
        <f t="shared" si="17"/>
        <v>36.381312</v>
      </c>
    </row>
    <row r="51" spans="1:28" s="138" customFormat="1" ht="18.75" customHeight="1">
      <c r="A51" s="12">
        <f t="shared" si="13"/>
        <v>42</v>
      </c>
      <c r="B51" s="97" t="s">
        <v>831</v>
      </c>
      <c r="C51" s="15" t="s">
        <v>469</v>
      </c>
      <c r="D51" s="162">
        <v>15</v>
      </c>
      <c r="E51" s="162">
        <f>10+2</f>
        <v>12</v>
      </c>
      <c r="F51" s="162">
        <f>10+1</f>
        <v>11</v>
      </c>
      <c r="G51" s="162">
        <f>10+1</f>
        <v>11</v>
      </c>
      <c r="H51" s="162">
        <v>10</v>
      </c>
      <c r="I51" s="162">
        <f>H51*0.99</f>
        <v>9.9</v>
      </c>
      <c r="J51" s="163">
        <f>I51*0.99</f>
        <v>9.801</v>
      </c>
      <c r="K51" s="166">
        <f aca="true" t="shared" si="18" ref="K51:Q51">D51*1.28</f>
        <v>19.2</v>
      </c>
      <c r="L51" s="167">
        <f t="shared" si="18"/>
        <v>15.36</v>
      </c>
      <c r="M51" s="167">
        <f t="shared" si="18"/>
        <v>14.08</v>
      </c>
      <c r="N51" s="167">
        <f t="shared" si="18"/>
        <v>14.08</v>
      </c>
      <c r="O51" s="167">
        <f t="shared" si="18"/>
        <v>12.8</v>
      </c>
      <c r="P51" s="167">
        <f t="shared" si="18"/>
        <v>12.672</v>
      </c>
      <c r="Q51" s="167">
        <f t="shared" si="18"/>
        <v>12.54528</v>
      </c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</row>
    <row r="52" spans="1:28" s="138" customFormat="1" ht="18.75" customHeight="1">
      <c r="A52" s="12">
        <f t="shared" si="13"/>
        <v>43</v>
      </c>
      <c r="B52" s="97" t="s">
        <v>122</v>
      </c>
      <c r="C52" s="15" t="s">
        <v>470</v>
      </c>
      <c r="D52" s="162" t="s">
        <v>998</v>
      </c>
      <c r="E52" s="162">
        <v>2</v>
      </c>
      <c r="F52" s="162">
        <v>1</v>
      </c>
      <c r="G52" s="162">
        <v>1</v>
      </c>
      <c r="H52" s="162" t="s">
        <v>998</v>
      </c>
      <c r="I52" s="162" t="s">
        <v>998</v>
      </c>
      <c r="J52" s="163" t="s">
        <v>998</v>
      </c>
      <c r="K52" s="166" t="s">
        <v>998</v>
      </c>
      <c r="L52" s="167">
        <f>E52*1.28</f>
        <v>2.56</v>
      </c>
      <c r="M52" s="167">
        <f>F52*1.28</f>
        <v>1.28</v>
      </c>
      <c r="N52" s="167">
        <f>G52*1.28</f>
        <v>1.28</v>
      </c>
      <c r="O52" s="167" t="s">
        <v>998</v>
      </c>
      <c r="P52" s="167" t="s">
        <v>998</v>
      </c>
      <c r="Q52" s="167" t="s">
        <v>998</v>
      </c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</row>
    <row r="53" spans="1:17" s="306" customFormat="1" ht="18.75" customHeight="1">
      <c r="A53" s="12">
        <f t="shared" si="13"/>
        <v>44</v>
      </c>
      <c r="B53" s="97" t="s">
        <v>832</v>
      </c>
      <c r="C53" s="15" t="s">
        <v>386</v>
      </c>
      <c r="D53" s="162">
        <v>10</v>
      </c>
      <c r="E53" s="162">
        <v>8</v>
      </c>
      <c r="F53" s="162">
        <v>8</v>
      </c>
      <c r="G53" s="162">
        <v>8</v>
      </c>
      <c r="H53" s="162">
        <v>8</v>
      </c>
      <c r="I53" s="162">
        <f>H53*0.99</f>
        <v>7.92</v>
      </c>
      <c r="J53" s="163">
        <f>I53*0.99</f>
        <v>7.8408</v>
      </c>
      <c r="K53" s="166">
        <f t="shared" si="14"/>
        <v>12.8</v>
      </c>
      <c r="L53" s="167">
        <f t="shared" si="17"/>
        <v>10.24</v>
      </c>
      <c r="M53" s="167">
        <f t="shared" si="17"/>
        <v>10.24</v>
      </c>
      <c r="N53" s="167">
        <f t="shared" si="17"/>
        <v>10.24</v>
      </c>
      <c r="O53" s="167">
        <f t="shared" si="17"/>
        <v>10.24</v>
      </c>
      <c r="P53" s="167">
        <f t="shared" si="17"/>
        <v>10.1376</v>
      </c>
      <c r="Q53" s="167">
        <f t="shared" si="17"/>
        <v>10.036224</v>
      </c>
    </row>
    <row r="54" spans="1:28" s="138" customFormat="1" ht="18.75" customHeight="1">
      <c r="A54" s="12">
        <f t="shared" si="13"/>
        <v>45</v>
      </c>
      <c r="B54" s="97" t="s">
        <v>833</v>
      </c>
      <c r="C54" s="15" t="s">
        <v>389</v>
      </c>
      <c r="D54" s="162">
        <v>2</v>
      </c>
      <c r="E54" s="162">
        <v>1</v>
      </c>
      <c r="F54" s="162">
        <v>1</v>
      </c>
      <c r="G54" s="162">
        <v>1</v>
      </c>
      <c r="H54" s="162" t="s">
        <v>998</v>
      </c>
      <c r="I54" s="162" t="s">
        <v>998</v>
      </c>
      <c r="J54" s="163" t="s">
        <v>998</v>
      </c>
      <c r="K54" s="166">
        <f t="shared" si="14"/>
        <v>2.56</v>
      </c>
      <c r="L54" s="167">
        <f aca="true" t="shared" si="19" ref="L54:N56">E54*1.28</f>
        <v>1.28</v>
      </c>
      <c r="M54" s="167">
        <f t="shared" si="19"/>
        <v>1.28</v>
      </c>
      <c r="N54" s="167">
        <f t="shared" si="19"/>
        <v>1.28</v>
      </c>
      <c r="O54" s="167" t="s">
        <v>998</v>
      </c>
      <c r="P54" s="167" t="s">
        <v>998</v>
      </c>
      <c r="Q54" s="167" t="s">
        <v>998</v>
      </c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</row>
    <row r="55" spans="1:28" s="138" customFormat="1" ht="18.75" customHeight="1">
      <c r="A55" s="12">
        <f t="shared" si="13"/>
        <v>46</v>
      </c>
      <c r="B55" s="97" t="s">
        <v>834</v>
      </c>
      <c r="C55" s="15" t="s">
        <v>471</v>
      </c>
      <c r="D55" s="162">
        <v>12</v>
      </c>
      <c r="E55" s="162">
        <f>10+2</f>
        <v>12</v>
      </c>
      <c r="F55" s="162">
        <f>10+2</f>
        <v>12</v>
      </c>
      <c r="G55" s="162">
        <f>10+2</f>
        <v>12</v>
      </c>
      <c r="H55" s="162">
        <f>10+2</f>
        <v>12</v>
      </c>
      <c r="I55" s="162">
        <f>H55*0.99</f>
        <v>11.879999999999999</v>
      </c>
      <c r="J55" s="163">
        <f t="shared" si="11"/>
        <v>11.761199999999999</v>
      </c>
      <c r="K55" s="166">
        <f t="shared" si="14"/>
        <v>15.36</v>
      </c>
      <c r="L55" s="167">
        <f t="shared" si="19"/>
        <v>15.36</v>
      </c>
      <c r="M55" s="167">
        <f t="shared" si="19"/>
        <v>15.36</v>
      </c>
      <c r="N55" s="167">
        <f t="shared" si="19"/>
        <v>15.36</v>
      </c>
      <c r="O55" s="167">
        <f aca="true" t="shared" si="20" ref="O55:Q56">H55*1.28</f>
        <v>15.36</v>
      </c>
      <c r="P55" s="167">
        <f t="shared" si="20"/>
        <v>15.206399999999999</v>
      </c>
      <c r="Q55" s="167">
        <f t="shared" si="20"/>
        <v>15.054336</v>
      </c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</row>
    <row r="56" spans="1:17" s="306" customFormat="1" ht="18.75" customHeight="1">
      <c r="A56" s="12">
        <f t="shared" si="13"/>
        <v>47</v>
      </c>
      <c r="B56" s="97" t="s">
        <v>830</v>
      </c>
      <c r="C56" s="15" t="s">
        <v>1058</v>
      </c>
      <c r="D56" s="162" t="s">
        <v>998</v>
      </c>
      <c r="E56" s="162">
        <v>2</v>
      </c>
      <c r="F56" s="162">
        <v>3</v>
      </c>
      <c r="G56" s="162">
        <v>2</v>
      </c>
      <c r="H56" s="162">
        <v>1</v>
      </c>
      <c r="I56" s="162">
        <f>H56*0.99</f>
        <v>0.99</v>
      </c>
      <c r="J56" s="163">
        <f t="shared" si="11"/>
        <v>0.9801</v>
      </c>
      <c r="K56" s="166" t="s">
        <v>998</v>
      </c>
      <c r="L56" s="167">
        <f t="shared" si="19"/>
        <v>2.56</v>
      </c>
      <c r="M56" s="167">
        <f t="shared" si="19"/>
        <v>3.84</v>
      </c>
      <c r="N56" s="167">
        <f t="shared" si="19"/>
        <v>2.56</v>
      </c>
      <c r="O56" s="167">
        <f t="shared" si="20"/>
        <v>1.28</v>
      </c>
      <c r="P56" s="167">
        <f t="shared" si="20"/>
        <v>1.2672</v>
      </c>
      <c r="Q56" s="167">
        <f t="shared" si="20"/>
        <v>1.254528</v>
      </c>
    </row>
    <row r="57" spans="1:19" ht="20.25" customHeight="1">
      <c r="A57" s="406" t="s">
        <v>627</v>
      </c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139"/>
      <c r="S57" s="139"/>
    </row>
    <row r="58" spans="1:51" s="136" customFormat="1" ht="16.5" customHeight="1">
      <c r="A58" s="12">
        <f>A56+1</f>
        <v>48</v>
      </c>
      <c r="B58" s="105" t="s">
        <v>1034</v>
      </c>
      <c r="C58" s="15" t="s">
        <v>1035</v>
      </c>
      <c r="D58" s="162">
        <v>8</v>
      </c>
      <c r="E58" s="162">
        <v>6</v>
      </c>
      <c r="F58" s="162">
        <v>4</v>
      </c>
      <c r="G58" s="162">
        <v>5</v>
      </c>
      <c r="H58" s="162">
        <v>3</v>
      </c>
      <c r="I58" s="162">
        <f>H58*0.99</f>
        <v>2.9699999999999998</v>
      </c>
      <c r="J58" s="163">
        <f>I58*0.99</f>
        <v>2.9402999999999997</v>
      </c>
      <c r="K58" s="161">
        <f aca="true" t="shared" si="21" ref="K58:Q59">D58*3.4</f>
        <v>27.2</v>
      </c>
      <c r="L58" s="162">
        <f t="shared" si="21"/>
        <v>20.4</v>
      </c>
      <c r="M58" s="162">
        <f t="shared" si="21"/>
        <v>13.6</v>
      </c>
      <c r="N58" s="162">
        <f t="shared" si="21"/>
        <v>17</v>
      </c>
      <c r="O58" s="162">
        <f t="shared" si="21"/>
        <v>10.2</v>
      </c>
      <c r="P58" s="162">
        <f t="shared" si="21"/>
        <v>10.097999999999999</v>
      </c>
      <c r="Q58" s="162">
        <f t="shared" si="21"/>
        <v>9.99702</v>
      </c>
      <c r="R58" s="120"/>
      <c r="S58" s="120"/>
      <c r="T58" s="140"/>
      <c r="U58" s="140"/>
      <c r="V58" s="140"/>
      <c r="W58" s="140"/>
      <c r="X58" s="14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</row>
    <row r="59" spans="1:28" s="136" customFormat="1" ht="16.5" customHeight="1">
      <c r="A59" s="12">
        <f>A58+1</f>
        <v>49</v>
      </c>
      <c r="B59" s="105" t="s">
        <v>1036</v>
      </c>
      <c r="C59" s="15" t="s">
        <v>1037</v>
      </c>
      <c r="D59" s="162">
        <v>6</v>
      </c>
      <c r="E59" s="162">
        <v>5</v>
      </c>
      <c r="F59" s="162">
        <v>3</v>
      </c>
      <c r="G59" s="162">
        <v>2</v>
      </c>
      <c r="H59" s="162">
        <v>1</v>
      </c>
      <c r="I59" s="162">
        <f>H59*0.99</f>
        <v>0.99</v>
      </c>
      <c r="J59" s="163">
        <f>I59*0.99</f>
        <v>0.9801</v>
      </c>
      <c r="K59" s="161">
        <f t="shared" si="21"/>
        <v>20.4</v>
      </c>
      <c r="L59" s="162">
        <f t="shared" si="21"/>
        <v>17</v>
      </c>
      <c r="M59" s="162">
        <f t="shared" si="21"/>
        <v>10.2</v>
      </c>
      <c r="N59" s="162">
        <f t="shared" si="21"/>
        <v>6.8</v>
      </c>
      <c r="O59" s="162">
        <f t="shared" si="21"/>
        <v>3.4</v>
      </c>
      <c r="P59" s="162">
        <f t="shared" si="21"/>
        <v>3.366</v>
      </c>
      <c r="Q59" s="162">
        <f t="shared" si="21"/>
        <v>3.33234</v>
      </c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</row>
    <row r="60" spans="1:19" ht="21" customHeight="1">
      <c r="A60" s="406" t="s">
        <v>626</v>
      </c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139"/>
      <c r="S60" s="139"/>
    </row>
    <row r="61" spans="1:28" s="136" customFormat="1" ht="16.5" customHeight="1">
      <c r="A61" s="12">
        <f>A59+1</f>
        <v>50</v>
      </c>
      <c r="B61" s="105" t="s">
        <v>1000</v>
      </c>
      <c r="C61" s="15" t="s">
        <v>1001</v>
      </c>
      <c r="D61" s="162">
        <v>4</v>
      </c>
      <c r="E61" s="162">
        <v>4</v>
      </c>
      <c r="F61" s="162">
        <v>3</v>
      </c>
      <c r="G61" s="162">
        <v>3</v>
      </c>
      <c r="H61" s="162">
        <v>3</v>
      </c>
      <c r="I61" s="162">
        <f aca="true" t="shared" si="22" ref="I61:J68">H61*0.99</f>
        <v>2.9699999999999998</v>
      </c>
      <c r="J61" s="163">
        <f t="shared" si="22"/>
        <v>2.9402999999999997</v>
      </c>
      <c r="K61" s="166">
        <f aca="true" t="shared" si="23" ref="K61:Q66">D61*1.28</f>
        <v>5.12</v>
      </c>
      <c r="L61" s="167">
        <f t="shared" si="23"/>
        <v>5.12</v>
      </c>
      <c r="M61" s="167">
        <f t="shared" si="23"/>
        <v>3.84</v>
      </c>
      <c r="N61" s="167">
        <f t="shared" si="23"/>
        <v>3.84</v>
      </c>
      <c r="O61" s="167">
        <f t="shared" si="23"/>
        <v>3.84</v>
      </c>
      <c r="P61" s="167">
        <f t="shared" si="23"/>
        <v>3.8015999999999996</v>
      </c>
      <c r="Q61" s="167">
        <f t="shared" si="23"/>
        <v>3.763584</v>
      </c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</row>
    <row r="62" spans="1:17" s="304" customFormat="1" ht="16.5" customHeight="1">
      <c r="A62" s="12">
        <f>A61+1</f>
        <v>51</v>
      </c>
      <c r="B62" s="105" t="s">
        <v>1347</v>
      </c>
      <c r="C62" s="15" t="s">
        <v>1079</v>
      </c>
      <c r="D62" s="162" t="s">
        <v>998</v>
      </c>
      <c r="E62" s="162">
        <v>2</v>
      </c>
      <c r="F62" s="162">
        <v>1</v>
      </c>
      <c r="G62" s="162">
        <v>1</v>
      </c>
      <c r="H62" s="162">
        <v>1</v>
      </c>
      <c r="I62" s="162">
        <f t="shared" si="22"/>
        <v>0.99</v>
      </c>
      <c r="J62" s="163">
        <f t="shared" si="22"/>
        <v>0.9801</v>
      </c>
      <c r="K62" s="166" t="s">
        <v>998</v>
      </c>
      <c r="L62" s="167">
        <f aca="true" t="shared" si="24" ref="L62:Q62">E62*1.28</f>
        <v>2.56</v>
      </c>
      <c r="M62" s="167">
        <f t="shared" si="24"/>
        <v>1.28</v>
      </c>
      <c r="N62" s="167">
        <f t="shared" si="24"/>
        <v>1.28</v>
      </c>
      <c r="O62" s="167">
        <f t="shared" si="24"/>
        <v>1.28</v>
      </c>
      <c r="P62" s="167">
        <f t="shared" si="24"/>
        <v>1.2672</v>
      </c>
      <c r="Q62" s="167">
        <f t="shared" si="24"/>
        <v>1.254528</v>
      </c>
    </row>
    <row r="63" spans="1:28" s="136" customFormat="1" ht="16.5" customHeight="1">
      <c r="A63" s="12">
        <f aca="true" t="shared" si="25" ref="A63:A107">A62+1</f>
        <v>52</v>
      </c>
      <c r="B63" s="105" t="s">
        <v>432</v>
      </c>
      <c r="C63" s="15" t="s">
        <v>433</v>
      </c>
      <c r="D63" s="162">
        <f>5-1</f>
        <v>4</v>
      </c>
      <c r="E63" s="162" t="s">
        <v>998</v>
      </c>
      <c r="F63" s="162" t="s">
        <v>998</v>
      </c>
      <c r="G63" s="162" t="s">
        <v>998</v>
      </c>
      <c r="H63" s="162" t="s">
        <v>998</v>
      </c>
      <c r="I63" s="162" t="s">
        <v>998</v>
      </c>
      <c r="J63" s="163" t="s">
        <v>998</v>
      </c>
      <c r="K63" s="166">
        <f t="shared" si="23"/>
        <v>5.12</v>
      </c>
      <c r="L63" s="167" t="s">
        <v>998</v>
      </c>
      <c r="M63" s="167" t="s">
        <v>998</v>
      </c>
      <c r="N63" s="167" t="s">
        <v>998</v>
      </c>
      <c r="O63" s="167" t="s">
        <v>998</v>
      </c>
      <c r="P63" s="167" t="s">
        <v>998</v>
      </c>
      <c r="Q63" s="167" t="s">
        <v>998</v>
      </c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</row>
    <row r="64" spans="1:28" s="136" customFormat="1" ht="16.5" customHeight="1">
      <c r="A64" s="12">
        <f t="shared" si="25"/>
        <v>53</v>
      </c>
      <c r="B64" s="105" t="s">
        <v>434</v>
      </c>
      <c r="C64" s="15" t="s">
        <v>435</v>
      </c>
      <c r="D64" s="162">
        <f>1-1+1</f>
        <v>1</v>
      </c>
      <c r="E64" s="162">
        <f>1+4-1+1</f>
        <v>5</v>
      </c>
      <c r="F64" s="162">
        <f>1+2-1+1</f>
        <v>3</v>
      </c>
      <c r="G64" s="162">
        <f>1+3-1</f>
        <v>3</v>
      </c>
      <c r="H64" s="162">
        <f>1+1-1</f>
        <v>1</v>
      </c>
      <c r="I64" s="162">
        <f t="shared" si="22"/>
        <v>0.99</v>
      </c>
      <c r="J64" s="163">
        <f t="shared" si="22"/>
        <v>0.9801</v>
      </c>
      <c r="K64" s="166">
        <f t="shared" si="23"/>
        <v>1.28</v>
      </c>
      <c r="L64" s="167">
        <f t="shared" si="23"/>
        <v>6.4</v>
      </c>
      <c r="M64" s="167">
        <f t="shared" si="23"/>
        <v>3.84</v>
      </c>
      <c r="N64" s="167">
        <f t="shared" si="23"/>
        <v>3.84</v>
      </c>
      <c r="O64" s="167">
        <f t="shared" si="23"/>
        <v>1.28</v>
      </c>
      <c r="P64" s="167">
        <f t="shared" si="23"/>
        <v>1.2672</v>
      </c>
      <c r="Q64" s="167">
        <f t="shared" si="23"/>
        <v>1.254528</v>
      </c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</row>
    <row r="65" spans="1:28" s="136" customFormat="1" ht="16.5" customHeight="1">
      <c r="A65" s="12">
        <f t="shared" si="25"/>
        <v>54</v>
      </c>
      <c r="B65" s="105" t="s">
        <v>436</v>
      </c>
      <c r="C65" s="15" t="s">
        <v>437</v>
      </c>
      <c r="D65" s="162">
        <f>60-52+52-6</f>
        <v>54</v>
      </c>
      <c r="E65" s="162">
        <f>62-55+32-7+4</f>
        <v>36</v>
      </c>
      <c r="F65" s="162">
        <f>30-25+18-5+3</f>
        <v>21</v>
      </c>
      <c r="G65" s="162">
        <f>46-39+19-4+2</f>
        <v>24</v>
      </c>
      <c r="H65" s="162">
        <f>17-15+9-2+6</f>
        <v>15</v>
      </c>
      <c r="I65" s="162">
        <f t="shared" si="22"/>
        <v>14.85</v>
      </c>
      <c r="J65" s="163">
        <f t="shared" si="22"/>
        <v>14.7015</v>
      </c>
      <c r="K65" s="166">
        <f t="shared" si="23"/>
        <v>69.12</v>
      </c>
      <c r="L65" s="167">
        <f t="shared" si="23"/>
        <v>46.08</v>
      </c>
      <c r="M65" s="167">
        <f t="shared" si="23"/>
        <v>26.88</v>
      </c>
      <c r="N65" s="167">
        <f t="shared" si="23"/>
        <v>30.72</v>
      </c>
      <c r="O65" s="167">
        <f t="shared" si="23"/>
        <v>19.2</v>
      </c>
      <c r="P65" s="167">
        <f t="shared" si="23"/>
        <v>19.008</v>
      </c>
      <c r="Q65" s="167">
        <f t="shared" si="23"/>
        <v>18.81792</v>
      </c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</row>
    <row r="66" spans="1:28" s="136" customFormat="1" ht="16.5" customHeight="1">
      <c r="A66" s="12">
        <f t="shared" si="25"/>
        <v>55</v>
      </c>
      <c r="B66" s="105" t="s">
        <v>440</v>
      </c>
      <c r="C66" s="15" t="s">
        <v>441</v>
      </c>
      <c r="D66" s="162">
        <f>8-6</f>
        <v>2</v>
      </c>
      <c r="E66" s="162">
        <f>6+20-6+1</f>
        <v>21</v>
      </c>
      <c r="F66" s="162">
        <f>8+11-8+1</f>
        <v>12</v>
      </c>
      <c r="G66" s="162">
        <f>3+12-3+1</f>
        <v>13</v>
      </c>
      <c r="H66" s="162">
        <f>4+6-4</f>
        <v>6</v>
      </c>
      <c r="I66" s="162">
        <f t="shared" si="22"/>
        <v>5.9399999999999995</v>
      </c>
      <c r="J66" s="163">
        <f t="shared" si="22"/>
        <v>5.880599999999999</v>
      </c>
      <c r="K66" s="166">
        <f t="shared" si="23"/>
        <v>2.56</v>
      </c>
      <c r="L66" s="167">
        <f t="shared" si="23"/>
        <v>26.88</v>
      </c>
      <c r="M66" s="167">
        <f t="shared" si="23"/>
        <v>15.36</v>
      </c>
      <c r="N66" s="167">
        <f t="shared" si="23"/>
        <v>16.64</v>
      </c>
      <c r="O66" s="167">
        <f t="shared" si="23"/>
        <v>7.68</v>
      </c>
      <c r="P66" s="167">
        <f t="shared" si="23"/>
        <v>7.603199999999999</v>
      </c>
      <c r="Q66" s="167">
        <f t="shared" si="23"/>
        <v>7.527168</v>
      </c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</row>
    <row r="67" spans="1:28" s="136" customFormat="1" ht="16.5" customHeight="1">
      <c r="A67" s="12">
        <f t="shared" si="25"/>
        <v>56</v>
      </c>
      <c r="B67" s="105" t="s">
        <v>842</v>
      </c>
      <c r="C67" s="15" t="s">
        <v>1065</v>
      </c>
      <c r="D67" s="162" t="s">
        <v>998</v>
      </c>
      <c r="E67" s="162">
        <f>4+1</f>
        <v>5</v>
      </c>
      <c r="F67" s="162">
        <v>2</v>
      </c>
      <c r="G67" s="162">
        <v>3</v>
      </c>
      <c r="H67" s="162">
        <v>1</v>
      </c>
      <c r="I67" s="162">
        <f t="shared" si="22"/>
        <v>0.99</v>
      </c>
      <c r="J67" s="163">
        <f t="shared" si="22"/>
        <v>0.9801</v>
      </c>
      <c r="K67" s="166" t="s">
        <v>998</v>
      </c>
      <c r="L67" s="167">
        <f aca="true" t="shared" si="26" ref="L67:Q67">E67*1.28</f>
        <v>6.4</v>
      </c>
      <c r="M67" s="167">
        <f t="shared" si="26"/>
        <v>2.56</v>
      </c>
      <c r="N67" s="167">
        <f t="shared" si="26"/>
        <v>3.84</v>
      </c>
      <c r="O67" s="167">
        <f t="shared" si="26"/>
        <v>1.28</v>
      </c>
      <c r="P67" s="167">
        <f t="shared" si="26"/>
        <v>1.2672</v>
      </c>
      <c r="Q67" s="167">
        <f t="shared" si="26"/>
        <v>1.254528</v>
      </c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</row>
    <row r="68" spans="1:28" s="136" customFormat="1" ht="16.5" customHeight="1">
      <c r="A68" s="12">
        <f t="shared" si="25"/>
        <v>57</v>
      </c>
      <c r="B68" s="105" t="s">
        <v>438</v>
      </c>
      <c r="C68" s="15" t="s">
        <v>439</v>
      </c>
      <c r="D68" s="162" t="s">
        <v>556</v>
      </c>
      <c r="E68" s="162">
        <f>2+11-2+1+20</f>
        <v>32</v>
      </c>
      <c r="F68" s="162">
        <f>2+6-2+1</f>
        <v>7</v>
      </c>
      <c r="G68" s="162">
        <f>1+7-1+1</f>
        <v>8</v>
      </c>
      <c r="H68" s="162">
        <v>3</v>
      </c>
      <c r="I68" s="162">
        <f t="shared" si="22"/>
        <v>2.9699999999999998</v>
      </c>
      <c r="J68" s="163">
        <f t="shared" si="22"/>
        <v>2.9402999999999997</v>
      </c>
      <c r="K68" s="161" t="s">
        <v>556</v>
      </c>
      <c r="L68" s="167">
        <f aca="true" t="shared" si="27" ref="L68:N71">E68*1.28</f>
        <v>40.96</v>
      </c>
      <c r="M68" s="167">
        <f t="shared" si="27"/>
        <v>8.96</v>
      </c>
      <c r="N68" s="167">
        <f t="shared" si="27"/>
        <v>10.24</v>
      </c>
      <c r="O68" s="167">
        <f aca="true" t="shared" si="28" ref="O68:Q71">H68*1.28</f>
        <v>3.84</v>
      </c>
      <c r="P68" s="167">
        <f t="shared" si="28"/>
        <v>3.8015999999999996</v>
      </c>
      <c r="Q68" s="167">
        <f t="shared" si="28"/>
        <v>3.763584</v>
      </c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</row>
    <row r="69" spans="1:28" s="136" customFormat="1" ht="16.5" customHeight="1">
      <c r="A69" s="12">
        <f t="shared" si="25"/>
        <v>58</v>
      </c>
      <c r="B69" s="105" t="s">
        <v>1027</v>
      </c>
      <c r="C69" s="15" t="s">
        <v>1028</v>
      </c>
      <c r="D69" s="162">
        <v>1</v>
      </c>
      <c r="E69" s="162">
        <v>1</v>
      </c>
      <c r="F69" s="162">
        <v>1</v>
      </c>
      <c r="G69" s="162">
        <v>1</v>
      </c>
      <c r="H69" s="162">
        <v>1</v>
      </c>
      <c r="I69" s="162">
        <f aca="true" t="shared" si="29" ref="I69:J71">H69*0.99</f>
        <v>0.99</v>
      </c>
      <c r="J69" s="163">
        <f t="shared" si="29"/>
        <v>0.9801</v>
      </c>
      <c r="K69" s="166">
        <f aca="true" t="shared" si="30" ref="K69:K86">D69*1.28</f>
        <v>1.28</v>
      </c>
      <c r="L69" s="167">
        <f t="shared" si="27"/>
        <v>1.28</v>
      </c>
      <c r="M69" s="167">
        <f t="shared" si="27"/>
        <v>1.28</v>
      </c>
      <c r="N69" s="167">
        <f t="shared" si="27"/>
        <v>1.28</v>
      </c>
      <c r="O69" s="167">
        <f t="shared" si="28"/>
        <v>1.28</v>
      </c>
      <c r="P69" s="167">
        <f t="shared" si="28"/>
        <v>1.2672</v>
      </c>
      <c r="Q69" s="167">
        <f t="shared" si="28"/>
        <v>1.254528</v>
      </c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</row>
    <row r="70" spans="1:28" s="136" customFormat="1" ht="16.5" customHeight="1">
      <c r="A70" s="12">
        <f t="shared" si="25"/>
        <v>59</v>
      </c>
      <c r="B70" s="105" t="s">
        <v>538</v>
      </c>
      <c r="C70" s="15" t="s">
        <v>539</v>
      </c>
      <c r="D70" s="162" t="s">
        <v>998</v>
      </c>
      <c r="E70" s="162" t="s">
        <v>998</v>
      </c>
      <c r="F70" s="162">
        <v>2</v>
      </c>
      <c r="G70" s="162" t="s">
        <v>998</v>
      </c>
      <c r="H70" s="162">
        <v>2</v>
      </c>
      <c r="I70" s="162">
        <f t="shared" si="29"/>
        <v>1.98</v>
      </c>
      <c r="J70" s="162">
        <f t="shared" si="29"/>
        <v>1.9602</v>
      </c>
      <c r="K70" s="167" t="s">
        <v>998</v>
      </c>
      <c r="L70" s="167" t="s">
        <v>998</v>
      </c>
      <c r="M70" s="167">
        <f>F70*1.28</f>
        <v>2.56</v>
      </c>
      <c r="N70" s="167" t="s">
        <v>998</v>
      </c>
      <c r="O70" s="167">
        <f>H70*1.28</f>
        <v>2.56</v>
      </c>
      <c r="P70" s="167">
        <f>I70*1.28</f>
        <v>2.5344</v>
      </c>
      <c r="Q70" s="167">
        <f>J70*1.28</f>
        <v>2.509056</v>
      </c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</row>
    <row r="71" spans="1:17" s="304" customFormat="1" ht="16.5" customHeight="1">
      <c r="A71" s="12">
        <f t="shared" si="25"/>
        <v>60</v>
      </c>
      <c r="B71" s="105" t="s">
        <v>1002</v>
      </c>
      <c r="C71" s="15" t="s">
        <v>982</v>
      </c>
      <c r="D71" s="162">
        <f>1+2</f>
        <v>3</v>
      </c>
      <c r="E71" s="162">
        <f>1-1+1+1+2</f>
        <v>4</v>
      </c>
      <c r="F71" s="162">
        <f>1-1+1+2</f>
        <v>3</v>
      </c>
      <c r="G71" s="162">
        <v>2</v>
      </c>
      <c r="H71" s="162">
        <v>2</v>
      </c>
      <c r="I71" s="162">
        <f t="shared" si="29"/>
        <v>1.98</v>
      </c>
      <c r="J71" s="163">
        <f t="shared" si="29"/>
        <v>1.9602</v>
      </c>
      <c r="K71" s="166">
        <f t="shared" si="30"/>
        <v>3.84</v>
      </c>
      <c r="L71" s="167">
        <f>E71*1.28</f>
        <v>5.12</v>
      </c>
      <c r="M71" s="167">
        <f>F71*1.28</f>
        <v>3.84</v>
      </c>
      <c r="N71" s="167">
        <f t="shared" si="27"/>
        <v>2.56</v>
      </c>
      <c r="O71" s="167">
        <f t="shared" si="28"/>
        <v>2.56</v>
      </c>
      <c r="P71" s="167">
        <f t="shared" si="28"/>
        <v>2.5344</v>
      </c>
      <c r="Q71" s="167">
        <f t="shared" si="28"/>
        <v>2.509056</v>
      </c>
    </row>
    <row r="72" spans="1:28" s="136" customFormat="1" ht="16.5" customHeight="1">
      <c r="A72" s="12">
        <f t="shared" si="25"/>
        <v>61</v>
      </c>
      <c r="B72" s="105" t="s">
        <v>979</v>
      </c>
      <c r="C72" s="15" t="s">
        <v>1314</v>
      </c>
      <c r="D72" s="162">
        <v>1</v>
      </c>
      <c r="E72" s="162">
        <v>2</v>
      </c>
      <c r="F72" s="162" t="s">
        <v>556</v>
      </c>
      <c r="G72" s="162">
        <v>2</v>
      </c>
      <c r="H72" s="162" t="s">
        <v>556</v>
      </c>
      <c r="I72" s="162" t="s">
        <v>556</v>
      </c>
      <c r="J72" s="163" t="s">
        <v>556</v>
      </c>
      <c r="K72" s="166">
        <f t="shared" si="30"/>
        <v>1.28</v>
      </c>
      <c r="L72" s="167">
        <f>E72*1.28</f>
        <v>2.56</v>
      </c>
      <c r="M72" s="162" t="s">
        <v>556</v>
      </c>
      <c r="N72" s="167">
        <f aca="true" t="shared" si="31" ref="N72:N100">G72*1.28</f>
        <v>2.56</v>
      </c>
      <c r="O72" s="162" t="s">
        <v>556</v>
      </c>
      <c r="P72" s="162" t="s">
        <v>556</v>
      </c>
      <c r="Q72" s="162" t="s">
        <v>556</v>
      </c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</row>
    <row r="73" spans="1:28" s="136" customFormat="1" ht="16.5" customHeight="1">
      <c r="A73" s="12">
        <f t="shared" si="25"/>
        <v>62</v>
      </c>
      <c r="B73" s="105" t="s">
        <v>841</v>
      </c>
      <c r="C73" s="15" t="s">
        <v>840</v>
      </c>
      <c r="D73" s="162" t="s">
        <v>998</v>
      </c>
      <c r="E73" s="162">
        <v>2</v>
      </c>
      <c r="F73" s="162">
        <v>1</v>
      </c>
      <c r="G73" s="162">
        <v>1</v>
      </c>
      <c r="H73" s="162">
        <v>1</v>
      </c>
      <c r="I73" s="162">
        <f>H73*0.99</f>
        <v>0.99</v>
      </c>
      <c r="J73" s="163">
        <f>I73*0.99</f>
        <v>0.9801</v>
      </c>
      <c r="K73" s="167" t="s">
        <v>998</v>
      </c>
      <c r="L73" s="167">
        <f>E73*1.28</f>
        <v>2.56</v>
      </c>
      <c r="M73" s="167">
        <f>F73*1.28</f>
        <v>1.28</v>
      </c>
      <c r="N73" s="167">
        <f t="shared" si="31"/>
        <v>1.28</v>
      </c>
      <c r="O73" s="167">
        <f aca="true" t="shared" si="32" ref="O73:Q74">H73*1.28</f>
        <v>1.28</v>
      </c>
      <c r="P73" s="167">
        <f t="shared" si="32"/>
        <v>1.2672</v>
      </c>
      <c r="Q73" s="167">
        <f t="shared" si="32"/>
        <v>1.254528</v>
      </c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</row>
    <row r="74" spans="1:28" s="138" customFormat="1" ht="16.5" customHeight="1">
      <c r="A74" s="12">
        <f t="shared" si="25"/>
        <v>63</v>
      </c>
      <c r="B74" s="97" t="s">
        <v>1343</v>
      </c>
      <c r="C74" s="15" t="s">
        <v>1344</v>
      </c>
      <c r="D74" s="162">
        <f>7+1</f>
        <v>8</v>
      </c>
      <c r="E74" s="162">
        <f>2+1</f>
        <v>3</v>
      </c>
      <c r="F74" s="162">
        <f>2+1</f>
        <v>3</v>
      </c>
      <c r="G74" s="162">
        <f>4+1</f>
        <v>5</v>
      </c>
      <c r="H74" s="162">
        <f>2+1</f>
        <v>3</v>
      </c>
      <c r="I74" s="162">
        <f>H74*0.99</f>
        <v>2.9699999999999998</v>
      </c>
      <c r="J74" s="163">
        <f>I74*0.99</f>
        <v>2.9402999999999997</v>
      </c>
      <c r="K74" s="166">
        <f t="shared" si="30"/>
        <v>10.24</v>
      </c>
      <c r="L74" s="167">
        <f>E74*1.28</f>
        <v>3.84</v>
      </c>
      <c r="M74" s="167">
        <f>F74*1.28</f>
        <v>3.84</v>
      </c>
      <c r="N74" s="167">
        <f t="shared" si="31"/>
        <v>6.4</v>
      </c>
      <c r="O74" s="167">
        <f t="shared" si="32"/>
        <v>3.84</v>
      </c>
      <c r="P74" s="167">
        <f t="shared" si="32"/>
        <v>3.8015999999999996</v>
      </c>
      <c r="Q74" s="167">
        <f t="shared" si="32"/>
        <v>3.763584</v>
      </c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</row>
    <row r="75" spans="1:28" s="136" customFormat="1" ht="16.5" customHeight="1">
      <c r="A75" s="12">
        <f t="shared" si="25"/>
        <v>64</v>
      </c>
      <c r="B75" s="105" t="s">
        <v>928</v>
      </c>
      <c r="C75" s="15" t="s">
        <v>929</v>
      </c>
      <c r="D75" s="162">
        <v>2</v>
      </c>
      <c r="E75" s="162" t="s">
        <v>556</v>
      </c>
      <c r="F75" s="162" t="s">
        <v>556</v>
      </c>
      <c r="G75" s="162">
        <v>1</v>
      </c>
      <c r="H75" s="162" t="s">
        <v>556</v>
      </c>
      <c r="I75" s="162" t="s">
        <v>556</v>
      </c>
      <c r="J75" s="163" t="s">
        <v>556</v>
      </c>
      <c r="K75" s="166">
        <f t="shared" si="30"/>
        <v>2.56</v>
      </c>
      <c r="L75" s="162" t="s">
        <v>556</v>
      </c>
      <c r="M75" s="162" t="s">
        <v>556</v>
      </c>
      <c r="N75" s="167">
        <f t="shared" si="31"/>
        <v>1.28</v>
      </c>
      <c r="O75" s="162" t="s">
        <v>556</v>
      </c>
      <c r="P75" s="162" t="s">
        <v>556</v>
      </c>
      <c r="Q75" s="162" t="s">
        <v>556</v>
      </c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</row>
    <row r="76" spans="1:28" s="138" customFormat="1" ht="16.5" customHeight="1">
      <c r="A76" s="12">
        <f t="shared" si="25"/>
        <v>65</v>
      </c>
      <c r="B76" s="97" t="s">
        <v>1351</v>
      </c>
      <c r="C76" s="15" t="s">
        <v>1352</v>
      </c>
      <c r="D76" s="162">
        <v>3</v>
      </c>
      <c r="E76" s="162">
        <v>5</v>
      </c>
      <c r="F76" s="162">
        <f>3+1</f>
        <v>4</v>
      </c>
      <c r="G76" s="162">
        <v>5</v>
      </c>
      <c r="H76" s="162">
        <v>4</v>
      </c>
      <c r="I76" s="162">
        <f aca="true" t="shared" si="33" ref="I76:J80">H76*0.99</f>
        <v>3.96</v>
      </c>
      <c r="J76" s="163">
        <f t="shared" si="33"/>
        <v>3.9204</v>
      </c>
      <c r="K76" s="166">
        <f t="shared" si="30"/>
        <v>3.84</v>
      </c>
      <c r="L76" s="167">
        <f aca="true" t="shared" si="34" ref="L76:L88">E76*1.28</f>
        <v>6.4</v>
      </c>
      <c r="M76" s="167">
        <f aca="true" t="shared" si="35" ref="M76:M86">F76*1.28</f>
        <v>5.12</v>
      </c>
      <c r="N76" s="167">
        <f t="shared" si="31"/>
        <v>6.4</v>
      </c>
      <c r="O76" s="167">
        <f aca="true" t="shared" si="36" ref="O76:Q80">H76*1.28</f>
        <v>5.12</v>
      </c>
      <c r="P76" s="167">
        <f t="shared" si="36"/>
        <v>5.0688</v>
      </c>
      <c r="Q76" s="167">
        <f t="shared" si="36"/>
        <v>5.018112</v>
      </c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</row>
    <row r="77" spans="1:28" s="138" customFormat="1" ht="16.5" customHeight="1">
      <c r="A77" s="12">
        <f t="shared" si="25"/>
        <v>66</v>
      </c>
      <c r="B77" s="97" t="s">
        <v>1138</v>
      </c>
      <c r="C77" s="15" t="s">
        <v>1137</v>
      </c>
      <c r="D77" s="162" t="s">
        <v>998</v>
      </c>
      <c r="E77" s="162">
        <v>13</v>
      </c>
      <c r="F77" s="162">
        <v>6</v>
      </c>
      <c r="G77" s="162">
        <v>19</v>
      </c>
      <c r="H77" s="162">
        <v>16</v>
      </c>
      <c r="I77" s="162">
        <f>H77*0.99</f>
        <v>15.84</v>
      </c>
      <c r="J77" s="162">
        <f>I77*0.99</f>
        <v>15.6816</v>
      </c>
      <c r="K77" s="166" t="s">
        <v>998</v>
      </c>
      <c r="L77" s="167">
        <f aca="true" t="shared" si="37" ref="L77:Q77">E77*1.28</f>
        <v>16.64</v>
      </c>
      <c r="M77" s="167">
        <f t="shared" si="37"/>
        <v>7.68</v>
      </c>
      <c r="N77" s="167">
        <f t="shared" si="37"/>
        <v>24.32</v>
      </c>
      <c r="O77" s="167">
        <f t="shared" si="37"/>
        <v>20.48</v>
      </c>
      <c r="P77" s="167">
        <f t="shared" si="37"/>
        <v>20.2752</v>
      </c>
      <c r="Q77" s="167">
        <f t="shared" si="37"/>
        <v>20.072448</v>
      </c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</row>
    <row r="78" spans="1:28" s="138" customFormat="1" ht="16.5" customHeight="1">
      <c r="A78" s="12">
        <f t="shared" si="25"/>
        <v>67</v>
      </c>
      <c r="B78" s="105" t="s">
        <v>1</v>
      </c>
      <c r="C78" s="15" t="s">
        <v>2</v>
      </c>
      <c r="D78" s="162">
        <v>2</v>
      </c>
      <c r="E78" s="162">
        <v>1</v>
      </c>
      <c r="F78" s="162">
        <v>1</v>
      </c>
      <c r="G78" s="162">
        <v>1</v>
      </c>
      <c r="H78" s="162">
        <v>1</v>
      </c>
      <c r="I78" s="162">
        <f t="shared" si="33"/>
        <v>0.99</v>
      </c>
      <c r="J78" s="163">
        <f t="shared" si="33"/>
        <v>0.9801</v>
      </c>
      <c r="K78" s="166">
        <f t="shared" si="30"/>
        <v>2.56</v>
      </c>
      <c r="L78" s="167">
        <f t="shared" si="34"/>
        <v>1.28</v>
      </c>
      <c r="M78" s="167">
        <f t="shared" si="35"/>
        <v>1.28</v>
      </c>
      <c r="N78" s="167">
        <f t="shared" si="31"/>
        <v>1.28</v>
      </c>
      <c r="O78" s="167">
        <f t="shared" si="36"/>
        <v>1.28</v>
      </c>
      <c r="P78" s="167">
        <f t="shared" si="36"/>
        <v>1.2672</v>
      </c>
      <c r="Q78" s="167">
        <f t="shared" si="36"/>
        <v>1.254528</v>
      </c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</row>
    <row r="79" spans="1:17" s="318" customFormat="1" ht="16.5" customHeight="1">
      <c r="A79" s="12">
        <f t="shared" si="25"/>
        <v>68</v>
      </c>
      <c r="B79" s="105" t="s">
        <v>1101</v>
      </c>
      <c r="C79" s="15" t="s">
        <v>1104</v>
      </c>
      <c r="D79" s="162" t="s">
        <v>998</v>
      </c>
      <c r="E79" s="162">
        <v>2</v>
      </c>
      <c r="F79" s="162" t="s">
        <v>998</v>
      </c>
      <c r="G79" s="162" t="s">
        <v>998</v>
      </c>
      <c r="H79" s="162" t="s">
        <v>998</v>
      </c>
      <c r="I79" s="162" t="s">
        <v>998</v>
      </c>
      <c r="J79" s="163" t="s">
        <v>998</v>
      </c>
      <c r="K79" s="166" t="s">
        <v>998</v>
      </c>
      <c r="L79" s="167">
        <f t="shared" si="34"/>
        <v>2.56</v>
      </c>
      <c r="M79" s="167" t="s">
        <v>998</v>
      </c>
      <c r="N79" s="167" t="s">
        <v>998</v>
      </c>
      <c r="O79" s="167" t="s">
        <v>998</v>
      </c>
      <c r="P79" s="167" t="s">
        <v>998</v>
      </c>
      <c r="Q79" s="167" t="s">
        <v>998</v>
      </c>
    </row>
    <row r="80" spans="1:28" s="138" customFormat="1" ht="16.5" customHeight="1">
      <c r="A80" s="12">
        <f t="shared" si="25"/>
        <v>69</v>
      </c>
      <c r="B80" s="111" t="s">
        <v>748</v>
      </c>
      <c r="C80" s="15" t="s">
        <v>749</v>
      </c>
      <c r="D80" s="162">
        <v>29</v>
      </c>
      <c r="E80" s="162">
        <v>12</v>
      </c>
      <c r="F80" s="162">
        <v>17</v>
      </c>
      <c r="G80" s="162">
        <v>16</v>
      </c>
      <c r="H80" s="162">
        <v>19</v>
      </c>
      <c r="I80" s="162">
        <f t="shared" si="33"/>
        <v>18.81</v>
      </c>
      <c r="J80" s="163">
        <f t="shared" si="33"/>
        <v>18.6219</v>
      </c>
      <c r="K80" s="166">
        <f t="shared" si="30"/>
        <v>37.12</v>
      </c>
      <c r="L80" s="167">
        <f t="shared" si="34"/>
        <v>15.36</v>
      </c>
      <c r="M80" s="167">
        <f t="shared" si="35"/>
        <v>21.76</v>
      </c>
      <c r="N80" s="167">
        <f t="shared" si="31"/>
        <v>20.48</v>
      </c>
      <c r="O80" s="167">
        <f t="shared" si="36"/>
        <v>24.32</v>
      </c>
      <c r="P80" s="167">
        <f t="shared" si="36"/>
        <v>24.0768</v>
      </c>
      <c r="Q80" s="167">
        <f t="shared" si="36"/>
        <v>23.836032</v>
      </c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</row>
    <row r="81" spans="1:28" s="138" customFormat="1" ht="16.5" customHeight="1">
      <c r="A81" s="12">
        <f t="shared" si="25"/>
        <v>70</v>
      </c>
      <c r="B81" s="105" t="s">
        <v>1331</v>
      </c>
      <c r="C81" s="15">
        <v>17050137</v>
      </c>
      <c r="D81" s="162">
        <v>1</v>
      </c>
      <c r="E81" s="162">
        <v>4</v>
      </c>
      <c r="F81" s="162">
        <v>4</v>
      </c>
      <c r="G81" s="162">
        <v>1</v>
      </c>
      <c r="H81" s="162" t="s">
        <v>556</v>
      </c>
      <c r="I81" s="162" t="s">
        <v>556</v>
      </c>
      <c r="J81" s="163" t="s">
        <v>556</v>
      </c>
      <c r="K81" s="166">
        <f t="shared" si="30"/>
        <v>1.28</v>
      </c>
      <c r="L81" s="167">
        <f t="shared" si="34"/>
        <v>5.12</v>
      </c>
      <c r="M81" s="167">
        <f t="shared" si="35"/>
        <v>5.12</v>
      </c>
      <c r="N81" s="167">
        <f t="shared" si="31"/>
        <v>1.28</v>
      </c>
      <c r="O81" s="162" t="s">
        <v>556</v>
      </c>
      <c r="P81" s="162" t="s">
        <v>556</v>
      </c>
      <c r="Q81" s="162" t="s">
        <v>556</v>
      </c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</row>
    <row r="82" spans="1:28" s="138" customFormat="1" ht="16.5" customHeight="1">
      <c r="A82" s="12">
        <f t="shared" si="25"/>
        <v>71</v>
      </c>
      <c r="B82" s="111" t="s">
        <v>750</v>
      </c>
      <c r="C82" s="15" t="s">
        <v>1313</v>
      </c>
      <c r="D82" s="162">
        <v>7</v>
      </c>
      <c r="E82" s="162">
        <v>6</v>
      </c>
      <c r="F82" s="162">
        <v>6</v>
      </c>
      <c r="G82" s="162">
        <v>6</v>
      </c>
      <c r="H82" s="162">
        <v>6</v>
      </c>
      <c r="I82" s="162">
        <f aca="true" t="shared" si="38" ref="I82:J106">H82*0.99</f>
        <v>5.9399999999999995</v>
      </c>
      <c r="J82" s="163">
        <f t="shared" si="38"/>
        <v>5.880599999999999</v>
      </c>
      <c r="K82" s="166">
        <f t="shared" si="30"/>
        <v>8.96</v>
      </c>
      <c r="L82" s="167">
        <f t="shared" si="34"/>
        <v>7.68</v>
      </c>
      <c r="M82" s="167">
        <f t="shared" si="35"/>
        <v>7.68</v>
      </c>
      <c r="N82" s="167">
        <f t="shared" si="31"/>
        <v>7.68</v>
      </c>
      <c r="O82" s="167">
        <f aca="true" t="shared" si="39" ref="O82:O106">H82*1.28</f>
        <v>7.68</v>
      </c>
      <c r="P82" s="167">
        <f aca="true" t="shared" si="40" ref="P82:P106">I82*1.28</f>
        <v>7.603199999999999</v>
      </c>
      <c r="Q82" s="167">
        <f aca="true" t="shared" si="41" ref="Q82:Q106">J82*1.28</f>
        <v>7.527168</v>
      </c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</row>
    <row r="83" spans="1:28" s="138" customFormat="1" ht="16.5" customHeight="1">
      <c r="A83" s="12">
        <f t="shared" si="25"/>
        <v>72</v>
      </c>
      <c r="B83" s="97" t="s">
        <v>1332</v>
      </c>
      <c r="C83" s="15" t="s">
        <v>1333</v>
      </c>
      <c r="D83" s="162">
        <v>2</v>
      </c>
      <c r="E83" s="162">
        <v>2</v>
      </c>
      <c r="F83" s="162">
        <v>2</v>
      </c>
      <c r="G83" s="162">
        <v>2</v>
      </c>
      <c r="H83" s="162">
        <v>2</v>
      </c>
      <c r="I83" s="162">
        <f t="shared" si="38"/>
        <v>1.98</v>
      </c>
      <c r="J83" s="163">
        <f t="shared" si="38"/>
        <v>1.9602</v>
      </c>
      <c r="K83" s="166">
        <f t="shared" si="30"/>
        <v>2.56</v>
      </c>
      <c r="L83" s="167">
        <f t="shared" si="34"/>
        <v>2.56</v>
      </c>
      <c r="M83" s="167">
        <f t="shared" si="35"/>
        <v>2.56</v>
      </c>
      <c r="N83" s="167">
        <f t="shared" si="31"/>
        <v>2.56</v>
      </c>
      <c r="O83" s="167">
        <f t="shared" si="39"/>
        <v>2.56</v>
      </c>
      <c r="P83" s="167">
        <f t="shared" si="40"/>
        <v>2.5344</v>
      </c>
      <c r="Q83" s="167">
        <f t="shared" si="41"/>
        <v>2.509056</v>
      </c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</row>
    <row r="84" spans="1:28" s="138" customFormat="1" ht="16.5" customHeight="1">
      <c r="A84" s="12">
        <f t="shared" si="25"/>
        <v>73</v>
      </c>
      <c r="B84" s="97" t="s">
        <v>751</v>
      </c>
      <c r="C84" s="15" t="s">
        <v>752</v>
      </c>
      <c r="D84" s="162">
        <v>1</v>
      </c>
      <c r="E84" s="162">
        <v>1</v>
      </c>
      <c r="F84" s="162">
        <v>1</v>
      </c>
      <c r="G84" s="162">
        <v>1</v>
      </c>
      <c r="H84" s="162">
        <v>1</v>
      </c>
      <c r="I84" s="162">
        <f t="shared" si="38"/>
        <v>0.99</v>
      </c>
      <c r="J84" s="163">
        <f t="shared" si="38"/>
        <v>0.9801</v>
      </c>
      <c r="K84" s="166">
        <f t="shared" si="30"/>
        <v>1.28</v>
      </c>
      <c r="L84" s="167">
        <f t="shared" si="34"/>
        <v>1.28</v>
      </c>
      <c r="M84" s="167">
        <f t="shared" si="35"/>
        <v>1.28</v>
      </c>
      <c r="N84" s="167">
        <f t="shared" si="31"/>
        <v>1.28</v>
      </c>
      <c r="O84" s="167">
        <f t="shared" si="39"/>
        <v>1.28</v>
      </c>
      <c r="P84" s="167">
        <f t="shared" si="40"/>
        <v>1.2672</v>
      </c>
      <c r="Q84" s="167">
        <f t="shared" si="41"/>
        <v>1.254528</v>
      </c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</row>
    <row r="85" spans="1:28" s="138" customFormat="1" ht="16.5" customHeight="1">
      <c r="A85" s="12">
        <f t="shared" si="25"/>
        <v>74</v>
      </c>
      <c r="B85" s="97" t="s">
        <v>926</v>
      </c>
      <c r="C85" s="15" t="s">
        <v>925</v>
      </c>
      <c r="D85" s="162">
        <v>1</v>
      </c>
      <c r="E85" s="162">
        <v>2</v>
      </c>
      <c r="F85" s="162">
        <v>3</v>
      </c>
      <c r="G85" s="162">
        <v>2</v>
      </c>
      <c r="H85" s="162">
        <v>2</v>
      </c>
      <c r="I85" s="162">
        <f t="shared" si="38"/>
        <v>1.98</v>
      </c>
      <c r="J85" s="163">
        <f t="shared" si="38"/>
        <v>1.9602</v>
      </c>
      <c r="K85" s="166">
        <f t="shared" si="30"/>
        <v>1.28</v>
      </c>
      <c r="L85" s="167">
        <f t="shared" si="34"/>
        <v>2.56</v>
      </c>
      <c r="M85" s="167">
        <f t="shared" si="35"/>
        <v>3.84</v>
      </c>
      <c r="N85" s="167">
        <f t="shared" si="31"/>
        <v>2.56</v>
      </c>
      <c r="O85" s="167">
        <f t="shared" si="39"/>
        <v>2.56</v>
      </c>
      <c r="P85" s="167">
        <f t="shared" si="40"/>
        <v>2.5344</v>
      </c>
      <c r="Q85" s="167">
        <f t="shared" si="41"/>
        <v>2.509056</v>
      </c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</row>
    <row r="86" spans="1:28" s="138" customFormat="1" ht="16.5" customHeight="1">
      <c r="A86" s="12">
        <f t="shared" si="25"/>
        <v>75</v>
      </c>
      <c r="B86" s="97" t="s">
        <v>799</v>
      </c>
      <c r="C86" s="15" t="s">
        <v>589</v>
      </c>
      <c r="D86" s="162">
        <v>5</v>
      </c>
      <c r="E86" s="162">
        <v>12</v>
      </c>
      <c r="F86" s="162">
        <v>11</v>
      </c>
      <c r="G86" s="162">
        <v>14</v>
      </c>
      <c r="H86" s="162">
        <v>14</v>
      </c>
      <c r="I86" s="162">
        <f t="shared" si="38"/>
        <v>13.86</v>
      </c>
      <c r="J86" s="163">
        <f t="shared" si="38"/>
        <v>13.7214</v>
      </c>
      <c r="K86" s="166">
        <f t="shared" si="30"/>
        <v>6.4</v>
      </c>
      <c r="L86" s="167">
        <f t="shared" si="34"/>
        <v>15.36</v>
      </c>
      <c r="M86" s="167">
        <f t="shared" si="35"/>
        <v>14.08</v>
      </c>
      <c r="N86" s="167">
        <f t="shared" si="31"/>
        <v>17.92</v>
      </c>
      <c r="O86" s="167">
        <f t="shared" si="39"/>
        <v>17.92</v>
      </c>
      <c r="P86" s="167">
        <f t="shared" si="40"/>
        <v>17.7408</v>
      </c>
      <c r="Q86" s="167">
        <f t="shared" si="41"/>
        <v>17.563392</v>
      </c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</row>
    <row r="87" spans="1:28" s="138" customFormat="1" ht="16.5" customHeight="1">
      <c r="A87" s="12">
        <f t="shared" si="25"/>
        <v>76</v>
      </c>
      <c r="B87" s="141" t="s">
        <v>795</v>
      </c>
      <c r="C87" s="15" t="s">
        <v>796</v>
      </c>
      <c r="D87" s="162" t="s">
        <v>556</v>
      </c>
      <c r="E87" s="162" t="s">
        <v>556</v>
      </c>
      <c r="F87" s="162">
        <v>1</v>
      </c>
      <c r="G87" s="162">
        <v>1</v>
      </c>
      <c r="H87" s="162">
        <v>1</v>
      </c>
      <c r="I87" s="162">
        <f t="shared" si="38"/>
        <v>0.99</v>
      </c>
      <c r="J87" s="163">
        <f t="shared" si="38"/>
        <v>0.9801</v>
      </c>
      <c r="K87" s="161" t="s">
        <v>556</v>
      </c>
      <c r="L87" s="167" t="s">
        <v>998</v>
      </c>
      <c r="M87" s="167">
        <f>F87*1.28</f>
        <v>1.28</v>
      </c>
      <c r="N87" s="167">
        <f t="shared" si="31"/>
        <v>1.28</v>
      </c>
      <c r="O87" s="167">
        <f t="shared" si="39"/>
        <v>1.28</v>
      </c>
      <c r="P87" s="167">
        <f t="shared" si="40"/>
        <v>1.2672</v>
      </c>
      <c r="Q87" s="167">
        <f t="shared" si="41"/>
        <v>1.254528</v>
      </c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</row>
    <row r="88" spans="1:28" s="138" customFormat="1" ht="31.5" customHeight="1">
      <c r="A88" s="12">
        <f t="shared" si="25"/>
        <v>77</v>
      </c>
      <c r="B88" s="111" t="s">
        <v>1363</v>
      </c>
      <c r="C88" s="15" t="s">
        <v>1362</v>
      </c>
      <c r="D88" s="162" t="s">
        <v>998</v>
      </c>
      <c r="E88" s="162">
        <v>4</v>
      </c>
      <c r="F88" s="162" t="s">
        <v>998</v>
      </c>
      <c r="G88" s="162" t="s">
        <v>998</v>
      </c>
      <c r="H88" s="162" t="s">
        <v>998</v>
      </c>
      <c r="I88" s="162" t="s">
        <v>998</v>
      </c>
      <c r="J88" s="163" t="s">
        <v>998</v>
      </c>
      <c r="K88" s="161" t="s">
        <v>998</v>
      </c>
      <c r="L88" s="167">
        <f t="shared" si="34"/>
        <v>5.12</v>
      </c>
      <c r="M88" s="167" t="s">
        <v>998</v>
      </c>
      <c r="N88" s="167" t="s">
        <v>998</v>
      </c>
      <c r="O88" s="167" t="s">
        <v>998</v>
      </c>
      <c r="P88" s="167" t="s">
        <v>998</v>
      </c>
      <c r="Q88" s="167" t="s">
        <v>998</v>
      </c>
      <c r="R88" s="167" t="s">
        <v>998</v>
      </c>
      <c r="S88" s="167" t="s">
        <v>998</v>
      </c>
      <c r="T88" s="137"/>
      <c r="U88" s="137"/>
      <c r="V88" s="137"/>
      <c r="W88" s="137"/>
      <c r="X88" s="137"/>
      <c r="Y88" s="137"/>
      <c r="Z88" s="137"/>
      <c r="AA88" s="137"/>
      <c r="AB88" s="137"/>
    </row>
    <row r="89" spans="1:28" s="138" customFormat="1" ht="17.25" customHeight="1">
      <c r="A89" s="12">
        <f t="shared" si="25"/>
        <v>78</v>
      </c>
      <c r="B89" s="111" t="s">
        <v>938</v>
      </c>
      <c r="C89" s="15" t="s">
        <v>1262</v>
      </c>
      <c r="D89" s="162">
        <v>5</v>
      </c>
      <c r="E89" s="162">
        <v>2</v>
      </c>
      <c r="F89" s="162">
        <v>2</v>
      </c>
      <c r="G89" s="162">
        <v>2</v>
      </c>
      <c r="H89" s="162">
        <v>2</v>
      </c>
      <c r="I89" s="162">
        <f t="shared" si="38"/>
        <v>1.98</v>
      </c>
      <c r="J89" s="163">
        <f t="shared" si="38"/>
        <v>1.9602</v>
      </c>
      <c r="K89" s="166">
        <f aca="true" t="shared" si="42" ref="K89:Q89">D89*1.28</f>
        <v>6.4</v>
      </c>
      <c r="L89" s="167">
        <f t="shared" si="42"/>
        <v>2.56</v>
      </c>
      <c r="M89" s="167">
        <f t="shared" si="42"/>
        <v>2.56</v>
      </c>
      <c r="N89" s="167">
        <f t="shared" si="42"/>
        <v>2.56</v>
      </c>
      <c r="O89" s="167">
        <f t="shared" si="42"/>
        <v>2.56</v>
      </c>
      <c r="P89" s="167">
        <f t="shared" si="42"/>
        <v>2.5344</v>
      </c>
      <c r="Q89" s="167">
        <f t="shared" si="42"/>
        <v>2.509056</v>
      </c>
      <c r="R89" s="174"/>
      <c r="S89" s="174"/>
      <c r="T89" s="137"/>
      <c r="U89" s="137"/>
      <c r="V89" s="137"/>
      <c r="W89" s="137"/>
      <c r="X89" s="137"/>
      <c r="Y89" s="137"/>
      <c r="Z89" s="137"/>
      <c r="AA89" s="137"/>
      <c r="AB89" s="137"/>
    </row>
    <row r="90" spans="1:28" s="138" customFormat="1" ht="16.5" customHeight="1">
      <c r="A90" s="12">
        <f t="shared" si="25"/>
        <v>79</v>
      </c>
      <c r="B90" s="97" t="s">
        <v>797</v>
      </c>
      <c r="C90" s="15" t="s">
        <v>798</v>
      </c>
      <c r="D90" s="162">
        <v>7</v>
      </c>
      <c r="E90" s="162">
        <f>13-2+1</f>
        <v>12</v>
      </c>
      <c r="F90" s="162">
        <f>8-2+1</f>
        <v>7</v>
      </c>
      <c r="G90" s="162">
        <f>7+2</f>
        <v>9</v>
      </c>
      <c r="H90" s="162">
        <f>5+2</f>
        <v>7</v>
      </c>
      <c r="I90" s="162">
        <f t="shared" si="38"/>
        <v>6.93</v>
      </c>
      <c r="J90" s="163">
        <f t="shared" si="38"/>
        <v>6.8607</v>
      </c>
      <c r="K90" s="166">
        <f>D90*1.28</f>
        <v>8.96</v>
      </c>
      <c r="L90" s="167">
        <f>E90*1.28</f>
        <v>15.36</v>
      </c>
      <c r="M90" s="167">
        <f>F90*1.28</f>
        <v>8.96</v>
      </c>
      <c r="N90" s="167">
        <f t="shared" si="31"/>
        <v>11.52</v>
      </c>
      <c r="O90" s="167">
        <f t="shared" si="39"/>
        <v>8.96</v>
      </c>
      <c r="P90" s="167">
        <f t="shared" si="40"/>
        <v>8.8704</v>
      </c>
      <c r="Q90" s="167">
        <f t="shared" si="41"/>
        <v>8.781696</v>
      </c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</row>
    <row r="91" spans="1:28" s="136" customFormat="1" ht="16.5" customHeight="1">
      <c r="A91" s="12">
        <f t="shared" si="25"/>
        <v>80</v>
      </c>
      <c r="B91" s="105" t="s">
        <v>36</v>
      </c>
      <c r="C91" s="15" t="s">
        <v>35</v>
      </c>
      <c r="D91" s="162" t="s">
        <v>556</v>
      </c>
      <c r="E91" s="162" t="s">
        <v>556</v>
      </c>
      <c r="F91" s="162" t="s">
        <v>556</v>
      </c>
      <c r="G91" s="162">
        <v>2</v>
      </c>
      <c r="H91" s="162">
        <v>2</v>
      </c>
      <c r="I91" s="162">
        <f t="shared" si="38"/>
        <v>1.98</v>
      </c>
      <c r="J91" s="163">
        <f t="shared" si="38"/>
        <v>1.9602</v>
      </c>
      <c r="K91" s="161" t="s">
        <v>556</v>
      </c>
      <c r="L91" s="162" t="s">
        <v>556</v>
      </c>
      <c r="M91" s="162" t="s">
        <v>556</v>
      </c>
      <c r="N91" s="167">
        <f t="shared" si="31"/>
        <v>2.56</v>
      </c>
      <c r="O91" s="167">
        <f t="shared" si="39"/>
        <v>2.56</v>
      </c>
      <c r="P91" s="167">
        <f t="shared" si="40"/>
        <v>2.5344</v>
      </c>
      <c r="Q91" s="167">
        <f t="shared" si="41"/>
        <v>2.509056</v>
      </c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</row>
    <row r="92" spans="1:28" s="136" customFormat="1" ht="16.5" customHeight="1">
      <c r="A92" s="12">
        <f t="shared" si="25"/>
        <v>81</v>
      </c>
      <c r="B92" s="105" t="s">
        <v>430</v>
      </c>
      <c r="C92" s="15" t="s">
        <v>431</v>
      </c>
      <c r="D92" s="162">
        <v>7</v>
      </c>
      <c r="E92" s="162">
        <v>7</v>
      </c>
      <c r="F92" s="162">
        <v>8</v>
      </c>
      <c r="G92" s="162">
        <v>8</v>
      </c>
      <c r="H92" s="162">
        <v>7</v>
      </c>
      <c r="I92" s="162">
        <f t="shared" si="38"/>
        <v>6.93</v>
      </c>
      <c r="J92" s="163">
        <f t="shared" si="38"/>
        <v>6.8607</v>
      </c>
      <c r="K92" s="166">
        <f aca="true" t="shared" si="43" ref="K92:K107">D92*1.28</f>
        <v>8.96</v>
      </c>
      <c r="L92" s="167">
        <f aca="true" t="shared" si="44" ref="L92:L107">E92*1.28</f>
        <v>8.96</v>
      </c>
      <c r="M92" s="167">
        <f aca="true" t="shared" si="45" ref="M92:M107">F92*1.28</f>
        <v>10.24</v>
      </c>
      <c r="N92" s="167">
        <f t="shared" si="31"/>
        <v>10.24</v>
      </c>
      <c r="O92" s="167">
        <f t="shared" si="39"/>
        <v>8.96</v>
      </c>
      <c r="P92" s="167">
        <f t="shared" si="40"/>
        <v>8.8704</v>
      </c>
      <c r="Q92" s="167">
        <f t="shared" si="41"/>
        <v>8.781696</v>
      </c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</row>
    <row r="93" spans="1:28" s="136" customFormat="1" ht="16.5" customHeight="1">
      <c r="A93" s="12">
        <f t="shared" si="25"/>
        <v>82</v>
      </c>
      <c r="B93" s="105" t="s">
        <v>428</v>
      </c>
      <c r="C93" s="15" t="s">
        <v>429</v>
      </c>
      <c r="D93" s="162">
        <v>20</v>
      </c>
      <c r="E93" s="162">
        <v>20</v>
      </c>
      <c r="F93" s="162">
        <v>10</v>
      </c>
      <c r="G93" s="162">
        <v>10</v>
      </c>
      <c r="H93" s="162">
        <v>10</v>
      </c>
      <c r="I93" s="162">
        <f t="shared" si="38"/>
        <v>9.9</v>
      </c>
      <c r="J93" s="163">
        <f t="shared" si="38"/>
        <v>9.801</v>
      </c>
      <c r="K93" s="166">
        <f t="shared" si="43"/>
        <v>25.6</v>
      </c>
      <c r="L93" s="167">
        <f t="shared" si="44"/>
        <v>25.6</v>
      </c>
      <c r="M93" s="167">
        <f t="shared" si="45"/>
        <v>12.8</v>
      </c>
      <c r="N93" s="167">
        <f t="shared" si="31"/>
        <v>12.8</v>
      </c>
      <c r="O93" s="167">
        <f t="shared" si="39"/>
        <v>12.8</v>
      </c>
      <c r="P93" s="167">
        <f t="shared" si="40"/>
        <v>12.672</v>
      </c>
      <c r="Q93" s="167">
        <f t="shared" si="41"/>
        <v>12.54528</v>
      </c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</row>
    <row r="94" spans="1:28" s="136" customFormat="1" ht="17.25" customHeight="1">
      <c r="A94" s="12">
        <f t="shared" si="25"/>
        <v>83</v>
      </c>
      <c r="B94" s="105" t="s">
        <v>1030</v>
      </c>
      <c r="C94" s="15" t="s">
        <v>1031</v>
      </c>
      <c r="D94" s="162">
        <v>134</v>
      </c>
      <c r="E94" s="162">
        <v>133</v>
      </c>
      <c r="F94" s="162">
        <v>135</v>
      </c>
      <c r="G94" s="162">
        <v>149</v>
      </c>
      <c r="H94" s="162">
        <v>151</v>
      </c>
      <c r="I94" s="162">
        <f t="shared" si="38"/>
        <v>149.49</v>
      </c>
      <c r="J94" s="163">
        <f t="shared" si="38"/>
        <v>147.9951</v>
      </c>
      <c r="K94" s="166">
        <f t="shared" si="43"/>
        <v>171.52</v>
      </c>
      <c r="L94" s="167">
        <f t="shared" si="44"/>
        <v>170.24</v>
      </c>
      <c r="M94" s="167">
        <f t="shared" si="45"/>
        <v>172.8</v>
      </c>
      <c r="N94" s="167">
        <f t="shared" si="31"/>
        <v>190.72</v>
      </c>
      <c r="O94" s="167">
        <f t="shared" si="39"/>
        <v>193.28</v>
      </c>
      <c r="P94" s="167">
        <f t="shared" si="40"/>
        <v>191.34720000000002</v>
      </c>
      <c r="Q94" s="167">
        <f t="shared" si="41"/>
        <v>189.433728</v>
      </c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</row>
    <row r="95" spans="1:28" s="136" customFormat="1" ht="17.25" customHeight="1">
      <c r="A95" s="12">
        <f t="shared" si="25"/>
        <v>84</v>
      </c>
      <c r="B95" s="105" t="s">
        <v>70</v>
      </c>
      <c r="C95" s="15" t="s">
        <v>69</v>
      </c>
      <c r="D95" s="162">
        <v>57</v>
      </c>
      <c r="E95" s="162">
        <v>59</v>
      </c>
      <c r="F95" s="162">
        <v>57</v>
      </c>
      <c r="G95" s="162">
        <v>63</v>
      </c>
      <c r="H95" s="162">
        <v>63</v>
      </c>
      <c r="I95" s="162">
        <f t="shared" si="38"/>
        <v>62.37</v>
      </c>
      <c r="J95" s="163">
        <f t="shared" si="38"/>
        <v>61.7463</v>
      </c>
      <c r="K95" s="166">
        <f t="shared" si="43"/>
        <v>72.96000000000001</v>
      </c>
      <c r="L95" s="167">
        <f t="shared" si="44"/>
        <v>75.52</v>
      </c>
      <c r="M95" s="167">
        <f t="shared" si="45"/>
        <v>72.96000000000001</v>
      </c>
      <c r="N95" s="167">
        <f t="shared" si="31"/>
        <v>80.64</v>
      </c>
      <c r="O95" s="167">
        <f t="shared" si="39"/>
        <v>80.64</v>
      </c>
      <c r="P95" s="167">
        <f t="shared" si="40"/>
        <v>79.8336</v>
      </c>
      <c r="Q95" s="167">
        <f t="shared" si="41"/>
        <v>79.035264</v>
      </c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</row>
    <row r="96" spans="1:28" s="136" customFormat="1" ht="16.5" customHeight="1">
      <c r="A96" s="12">
        <f t="shared" si="25"/>
        <v>85</v>
      </c>
      <c r="B96" s="105" t="s">
        <v>426</v>
      </c>
      <c r="C96" s="66" t="s">
        <v>427</v>
      </c>
      <c r="D96" s="162">
        <v>1</v>
      </c>
      <c r="E96" s="162">
        <v>1</v>
      </c>
      <c r="F96" s="162">
        <v>1</v>
      </c>
      <c r="G96" s="162">
        <v>1</v>
      </c>
      <c r="H96" s="162">
        <v>1</v>
      </c>
      <c r="I96" s="162">
        <f t="shared" si="38"/>
        <v>0.99</v>
      </c>
      <c r="J96" s="163">
        <f t="shared" si="38"/>
        <v>0.9801</v>
      </c>
      <c r="K96" s="166">
        <f t="shared" si="43"/>
        <v>1.28</v>
      </c>
      <c r="L96" s="167">
        <f t="shared" si="44"/>
        <v>1.28</v>
      </c>
      <c r="M96" s="167">
        <f t="shared" si="45"/>
        <v>1.28</v>
      </c>
      <c r="N96" s="167">
        <f t="shared" si="31"/>
        <v>1.28</v>
      </c>
      <c r="O96" s="167">
        <f t="shared" si="39"/>
        <v>1.28</v>
      </c>
      <c r="P96" s="167">
        <f t="shared" si="40"/>
        <v>1.2672</v>
      </c>
      <c r="Q96" s="167">
        <f t="shared" si="41"/>
        <v>1.254528</v>
      </c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</row>
    <row r="97" spans="1:17" s="304" customFormat="1" ht="16.5" customHeight="1">
      <c r="A97" s="12">
        <f t="shared" si="25"/>
        <v>86</v>
      </c>
      <c r="B97" s="105" t="s">
        <v>634</v>
      </c>
      <c r="C97" s="66" t="s">
        <v>606</v>
      </c>
      <c r="D97" s="162" t="s">
        <v>998</v>
      </c>
      <c r="E97" s="162">
        <v>10</v>
      </c>
      <c r="F97" s="162">
        <v>7</v>
      </c>
      <c r="G97" s="162">
        <v>6</v>
      </c>
      <c r="H97" s="162">
        <v>5</v>
      </c>
      <c r="I97" s="162">
        <f t="shared" si="38"/>
        <v>4.95</v>
      </c>
      <c r="J97" s="163">
        <f t="shared" si="38"/>
        <v>4.9005</v>
      </c>
      <c r="K97" s="166" t="s">
        <v>998</v>
      </c>
      <c r="L97" s="167">
        <f t="shared" si="44"/>
        <v>12.8</v>
      </c>
      <c r="M97" s="167">
        <f t="shared" si="45"/>
        <v>8.96</v>
      </c>
      <c r="N97" s="167">
        <f t="shared" si="31"/>
        <v>7.68</v>
      </c>
      <c r="O97" s="167">
        <f t="shared" si="39"/>
        <v>6.4</v>
      </c>
      <c r="P97" s="167">
        <f t="shared" si="40"/>
        <v>6.336</v>
      </c>
      <c r="Q97" s="167">
        <f t="shared" si="41"/>
        <v>6.27264</v>
      </c>
    </row>
    <row r="98" spans="1:28" s="138" customFormat="1" ht="17.25" customHeight="1">
      <c r="A98" s="12">
        <f t="shared" si="25"/>
        <v>87</v>
      </c>
      <c r="B98" s="97" t="s">
        <v>52</v>
      </c>
      <c r="C98" s="15" t="s">
        <v>53</v>
      </c>
      <c r="D98" s="162">
        <v>3</v>
      </c>
      <c r="E98" s="162">
        <v>3</v>
      </c>
      <c r="F98" s="162">
        <v>5</v>
      </c>
      <c r="G98" s="162">
        <v>1</v>
      </c>
      <c r="H98" s="162">
        <v>2</v>
      </c>
      <c r="I98" s="162">
        <f t="shared" si="38"/>
        <v>1.98</v>
      </c>
      <c r="J98" s="163">
        <f t="shared" si="38"/>
        <v>1.9602</v>
      </c>
      <c r="K98" s="166">
        <f t="shared" si="43"/>
        <v>3.84</v>
      </c>
      <c r="L98" s="167">
        <f t="shared" si="44"/>
        <v>3.84</v>
      </c>
      <c r="M98" s="167">
        <f t="shared" si="45"/>
        <v>6.4</v>
      </c>
      <c r="N98" s="167">
        <f t="shared" si="31"/>
        <v>1.28</v>
      </c>
      <c r="O98" s="167">
        <f t="shared" si="39"/>
        <v>2.56</v>
      </c>
      <c r="P98" s="167">
        <f t="shared" si="40"/>
        <v>2.5344</v>
      </c>
      <c r="Q98" s="167">
        <f t="shared" si="41"/>
        <v>2.509056</v>
      </c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</row>
    <row r="99" spans="1:28" s="138" customFormat="1" ht="16.5" customHeight="1">
      <c r="A99" s="12">
        <f t="shared" si="25"/>
        <v>88</v>
      </c>
      <c r="B99" s="97" t="s">
        <v>460</v>
      </c>
      <c r="C99" s="15" t="s">
        <v>544</v>
      </c>
      <c r="D99" s="162">
        <v>95</v>
      </c>
      <c r="E99" s="162">
        <v>87</v>
      </c>
      <c r="F99" s="162">
        <v>94</v>
      </c>
      <c r="G99" s="162">
        <v>82</v>
      </c>
      <c r="H99" s="162">
        <v>87</v>
      </c>
      <c r="I99" s="162">
        <f t="shared" si="38"/>
        <v>86.13</v>
      </c>
      <c r="J99" s="163">
        <f t="shared" si="38"/>
        <v>85.2687</v>
      </c>
      <c r="K99" s="166">
        <f t="shared" si="43"/>
        <v>121.60000000000001</v>
      </c>
      <c r="L99" s="167">
        <f t="shared" si="44"/>
        <v>111.36</v>
      </c>
      <c r="M99" s="167">
        <f t="shared" si="45"/>
        <v>120.32000000000001</v>
      </c>
      <c r="N99" s="167">
        <f t="shared" si="31"/>
        <v>104.96000000000001</v>
      </c>
      <c r="O99" s="167">
        <f t="shared" si="39"/>
        <v>111.36</v>
      </c>
      <c r="P99" s="167">
        <f t="shared" si="40"/>
        <v>110.2464</v>
      </c>
      <c r="Q99" s="167">
        <f t="shared" si="41"/>
        <v>109.143936</v>
      </c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</row>
    <row r="100" spans="1:28" s="138" customFormat="1" ht="16.5" customHeight="1">
      <c r="A100" s="12">
        <f t="shared" si="25"/>
        <v>89</v>
      </c>
      <c r="B100" s="97" t="s">
        <v>446</v>
      </c>
      <c r="C100" s="15" t="s">
        <v>447</v>
      </c>
      <c r="D100" s="162">
        <v>6</v>
      </c>
      <c r="E100" s="162">
        <v>5</v>
      </c>
      <c r="F100" s="162">
        <v>5</v>
      </c>
      <c r="G100" s="162">
        <v>7</v>
      </c>
      <c r="H100" s="162">
        <v>4</v>
      </c>
      <c r="I100" s="162">
        <f t="shared" si="38"/>
        <v>3.96</v>
      </c>
      <c r="J100" s="163">
        <f t="shared" si="38"/>
        <v>3.9204</v>
      </c>
      <c r="K100" s="166">
        <f t="shared" si="43"/>
        <v>7.68</v>
      </c>
      <c r="L100" s="167">
        <f t="shared" si="44"/>
        <v>6.4</v>
      </c>
      <c r="M100" s="167">
        <f t="shared" si="45"/>
        <v>6.4</v>
      </c>
      <c r="N100" s="167">
        <f t="shared" si="31"/>
        <v>8.96</v>
      </c>
      <c r="O100" s="167">
        <f t="shared" si="39"/>
        <v>5.12</v>
      </c>
      <c r="P100" s="167">
        <f t="shared" si="40"/>
        <v>5.0688</v>
      </c>
      <c r="Q100" s="167">
        <f t="shared" si="41"/>
        <v>5.018112</v>
      </c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</row>
    <row r="101" spans="1:28" s="138" customFormat="1" ht="16.5" customHeight="1">
      <c r="A101" s="12">
        <f t="shared" si="25"/>
        <v>90</v>
      </c>
      <c r="B101" s="97" t="s">
        <v>450</v>
      </c>
      <c r="C101" s="15" t="s">
        <v>451</v>
      </c>
      <c r="D101" s="162">
        <v>1</v>
      </c>
      <c r="E101" s="162">
        <v>3</v>
      </c>
      <c r="F101" s="162">
        <v>1</v>
      </c>
      <c r="G101" s="162" t="s">
        <v>556</v>
      </c>
      <c r="H101" s="162">
        <v>2</v>
      </c>
      <c r="I101" s="162">
        <f t="shared" si="38"/>
        <v>1.98</v>
      </c>
      <c r="J101" s="163">
        <f t="shared" si="38"/>
        <v>1.9602</v>
      </c>
      <c r="K101" s="166">
        <f t="shared" si="43"/>
        <v>1.28</v>
      </c>
      <c r="L101" s="167">
        <f t="shared" si="44"/>
        <v>3.84</v>
      </c>
      <c r="M101" s="167">
        <f t="shared" si="45"/>
        <v>1.28</v>
      </c>
      <c r="N101" s="162" t="s">
        <v>556</v>
      </c>
      <c r="O101" s="167">
        <f t="shared" si="39"/>
        <v>2.56</v>
      </c>
      <c r="P101" s="167">
        <f t="shared" si="40"/>
        <v>2.5344</v>
      </c>
      <c r="Q101" s="167">
        <f t="shared" si="41"/>
        <v>2.509056</v>
      </c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</row>
    <row r="102" spans="1:28" s="138" customFormat="1" ht="31.5" customHeight="1">
      <c r="A102" s="12">
        <f t="shared" si="25"/>
        <v>91</v>
      </c>
      <c r="B102" s="97" t="s">
        <v>632</v>
      </c>
      <c r="C102" s="15" t="s">
        <v>633</v>
      </c>
      <c r="D102" s="162">
        <v>1</v>
      </c>
      <c r="E102" s="162">
        <v>2</v>
      </c>
      <c r="F102" s="162">
        <v>2</v>
      </c>
      <c r="G102" s="162">
        <v>2</v>
      </c>
      <c r="H102" s="162">
        <v>2</v>
      </c>
      <c r="I102" s="162">
        <f t="shared" si="38"/>
        <v>1.98</v>
      </c>
      <c r="J102" s="163">
        <f t="shared" si="38"/>
        <v>1.9602</v>
      </c>
      <c r="K102" s="166">
        <f t="shared" si="43"/>
        <v>1.28</v>
      </c>
      <c r="L102" s="167">
        <f t="shared" si="44"/>
        <v>2.56</v>
      </c>
      <c r="M102" s="167">
        <f t="shared" si="45"/>
        <v>2.56</v>
      </c>
      <c r="N102" s="167">
        <f aca="true" t="shared" si="46" ref="N102:N107">G102*1.28</f>
        <v>2.56</v>
      </c>
      <c r="O102" s="167">
        <f t="shared" si="39"/>
        <v>2.56</v>
      </c>
      <c r="P102" s="167">
        <f t="shared" si="40"/>
        <v>2.5344</v>
      </c>
      <c r="Q102" s="167">
        <f t="shared" si="41"/>
        <v>2.509056</v>
      </c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</row>
    <row r="103" spans="1:28" s="138" customFormat="1" ht="30" customHeight="1">
      <c r="A103" s="12">
        <f t="shared" si="25"/>
        <v>92</v>
      </c>
      <c r="B103" s="97" t="s">
        <v>526</v>
      </c>
      <c r="C103" s="15" t="s">
        <v>525</v>
      </c>
      <c r="D103" s="162">
        <v>5</v>
      </c>
      <c r="E103" s="162">
        <v>3</v>
      </c>
      <c r="F103" s="162">
        <v>4</v>
      </c>
      <c r="G103" s="162">
        <v>4</v>
      </c>
      <c r="H103" s="162">
        <v>1</v>
      </c>
      <c r="I103" s="162">
        <f t="shared" si="38"/>
        <v>0.99</v>
      </c>
      <c r="J103" s="163">
        <f t="shared" si="38"/>
        <v>0.9801</v>
      </c>
      <c r="K103" s="166">
        <f t="shared" si="43"/>
        <v>6.4</v>
      </c>
      <c r="L103" s="167">
        <f t="shared" si="44"/>
        <v>3.84</v>
      </c>
      <c r="M103" s="167">
        <f t="shared" si="45"/>
        <v>5.12</v>
      </c>
      <c r="N103" s="167">
        <f t="shared" si="46"/>
        <v>5.12</v>
      </c>
      <c r="O103" s="167">
        <f t="shared" si="39"/>
        <v>1.28</v>
      </c>
      <c r="P103" s="167">
        <f t="shared" si="40"/>
        <v>1.2672</v>
      </c>
      <c r="Q103" s="167">
        <f t="shared" si="41"/>
        <v>1.254528</v>
      </c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</row>
    <row r="104" spans="1:28" s="138" customFormat="1" ht="17.25" customHeight="1">
      <c r="A104" s="12">
        <f t="shared" si="25"/>
        <v>93</v>
      </c>
      <c r="B104" s="97" t="s">
        <v>260</v>
      </c>
      <c r="C104" s="15" t="s">
        <v>261</v>
      </c>
      <c r="D104" s="162">
        <v>4</v>
      </c>
      <c r="E104" s="162">
        <v>4</v>
      </c>
      <c r="F104" s="162">
        <v>6</v>
      </c>
      <c r="G104" s="162">
        <v>3</v>
      </c>
      <c r="H104" s="162">
        <v>3</v>
      </c>
      <c r="I104" s="162">
        <f t="shared" si="38"/>
        <v>2.9699999999999998</v>
      </c>
      <c r="J104" s="163">
        <f t="shared" si="38"/>
        <v>2.9402999999999997</v>
      </c>
      <c r="K104" s="166">
        <f t="shared" si="43"/>
        <v>5.12</v>
      </c>
      <c r="L104" s="167">
        <f t="shared" si="44"/>
        <v>5.12</v>
      </c>
      <c r="M104" s="167">
        <f t="shared" si="45"/>
        <v>7.68</v>
      </c>
      <c r="N104" s="167">
        <f t="shared" si="46"/>
        <v>3.84</v>
      </c>
      <c r="O104" s="167">
        <f t="shared" si="39"/>
        <v>3.84</v>
      </c>
      <c r="P104" s="167">
        <f t="shared" si="40"/>
        <v>3.8015999999999996</v>
      </c>
      <c r="Q104" s="167">
        <f t="shared" si="41"/>
        <v>3.763584</v>
      </c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</row>
    <row r="105" spans="1:28" s="138" customFormat="1" ht="15.75" customHeight="1">
      <c r="A105" s="12">
        <f t="shared" si="25"/>
        <v>94</v>
      </c>
      <c r="B105" s="97" t="s">
        <v>54</v>
      </c>
      <c r="C105" s="15" t="s">
        <v>55</v>
      </c>
      <c r="D105" s="162">
        <v>10</v>
      </c>
      <c r="E105" s="162">
        <v>6</v>
      </c>
      <c r="F105" s="162">
        <v>9</v>
      </c>
      <c r="G105" s="162">
        <v>6</v>
      </c>
      <c r="H105" s="162">
        <v>4</v>
      </c>
      <c r="I105" s="162">
        <f t="shared" si="38"/>
        <v>3.96</v>
      </c>
      <c r="J105" s="163">
        <f t="shared" si="38"/>
        <v>3.9204</v>
      </c>
      <c r="K105" s="166">
        <f t="shared" si="43"/>
        <v>12.8</v>
      </c>
      <c r="L105" s="167">
        <f t="shared" si="44"/>
        <v>7.68</v>
      </c>
      <c r="M105" s="167">
        <f t="shared" si="45"/>
        <v>11.52</v>
      </c>
      <c r="N105" s="167">
        <f t="shared" si="46"/>
        <v>7.68</v>
      </c>
      <c r="O105" s="167">
        <f t="shared" si="39"/>
        <v>5.12</v>
      </c>
      <c r="P105" s="167">
        <f t="shared" si="40"/>
        <v>5.0688</v>
      </c>
      <c r="Q105" s="167">
        <f t="shared" si="41"/>
        <v>5.018112</v>
      </c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</row>
    <row r="106" spans="1:28" s="138" customFormat="1" ht="15.75" customHeight="1">
      <c r="A106" s="12">
        <f t="shared" si="25"/>
        <v>95</v>
      </c>
      <c r="B106" s="97" t="s">
        <v>1297</v>
      </c>
      <c r="C106" s="15" t="s">
        <v>1298</v>
      </c>
      <c r="D106" s="162">
        <v>13</v>
      </c>
      <c r="E106" s="162">
        <v>6</v>
      </c>
      <c r="F106" s="162">
        <v>6</v>
      </c>
      <c r="G106" s="162">
        <v>10</v>
      </c>
      <c r="H106" s="162">
        <v>2</v>
      </c>
      <c r="I106" s="162">
        <f t="shared" si="38"/>
        <v>1.98</v>
      </c>
      <c r="J106" s="163">
        <f t="shared" si="38"/>
        <v>1.9602</v>
      </c>
      <c r="K106" s="166">
        <f t="shared" si="43"/>
        <v>16.64</v>
      </c>
      <c r="L106" s="167">
        <f t="shared" si="44"/>
        <v>7.68</v>
      </c>
      <c r="M106" s="167">
        <f t="shared" si="45"/>
        <v>7.68</v>
      </c>
      <c r="N106" s="167">
        <f t="shared" si="46"/>
        <v>12.8</v>
      </c>
      <c r="O106" s="167">
        <f t="shared" si="39"/>
        <v>2.56</v>
      </c>
      <c r="P106" s="167">
        <f t="shared" si="40"/>
        <v>2.5344</v>
      </c>
      <c r="Q106" s="167">
        <f t="shared" si="41"/>
        <v>2.509056</v>
      </c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</row>
    <row r="107" spans="1:28" s="138" customFormat="1" ht="15" customHeight="1">
      <c r="A107" s="12">
        <f t="shared" si="25"/>
        <v>96</v>
      </c>
      <c r="B107" s="97" t="s">
        <v>545</v>
      </c>
      <c r="C107" s="15" t="s">
        <v>546</v>
      </c>
      <c r="D107" s="162">
        <v>6</v>
      </c>
      <c r="E107" s="162">
        <v>2</v>
      </c>
      <c r="F107" s="162">
        <v>2</v>
      </c>
      <c r="G107" s="162">
        <v>2</v>
      </c>
      <c r="H107" s="162" t="s">
        <v>556</v>
      </c>
      <c r="I107" s="162" t="s">
        <v>998</v>
      </c>
      <c r="J107" s="163" t="s">
        <v>998</v>
      </c>
      <c r="K107" s="166">
        <f t="shared" si="43"/>
        <v>7.68</v>
      </c>
      <c r="L107" s="167">
        <f t="shared" si="44"/>
        <v>2.56</v>
      </c>
      <c r="M107" s="167">
        <f t="shared" si="45"/>
        <v>2.56</v>
      </c>
      <c r="N107" s="167">
        <f t="shared" si="46"/>
        <v>2.56</v>
      </c>
      <c r="O107" s="162" t="s">
        <v>556</v>
      </c>
      <c r="P107" s="162" t="s">
        <v>556</v>
      </c>
      <c r="Q107" s="162" t="s">
        <v>556</v>
      </c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</row>
    <row r="108" spans="1:19" ht="18.75" customHeight="1">
      <c r="A108" s="406" t="s">
        <v>625</v>
      </c>
      <c r="B108" s="406"/>
      <c r="C108" s="406"/>
      <c r="D108" s="406"/>
      <c r="E108" s="406"/>
      <c r="F108" s="406"/>
      <c r="G108" s="406"/>
      <c r="H108" s="406"/>
      <c r="I108" s="406"/>
      <c r="J108" s="406"/>
      <c r="K108" s="406"/>
      <c r="L108" s="406"/>
      <c r="M108" s="406"/>
      <c r="N108" s="406"/>
      <c r="O108" s="406"/>
      <c r="P108" s="406"/>
      <c r="Q108" s="406"/>
      <c r="R108" s="139"/>
      <c r="S108" s="139"/>
    </row>
    <row r="109" spans="1:28" s="136" customFormat="1" ht="15.75" customHeight="1">
      <c r="A109" s="12">
        <f>A107+1</f>
        <v>97</v>
      </c>
      <c r="B109" s="97" t="s">
        <v>599</v>
      </c>
      <c r="C109" s="15" t="s">
        <v>600</v>
      </c>
      <c r="D109" s="162">
        <f>155-1-5-2</f>
        <v>147</v>
      </c>
      <c r="E109" s="162">
        <f>158-2-5-3</f>
        <v>148</v>
      </c>
      <c r="F109" s="162">
        <f>156-5-5</f>
        <v>146</v>
      </c>
      <c r="G109" s="162">
        <f>155-5</f>
        <v>150</v>
      </c>
      <c r="H109" s="162">
        <f>153-5</f>
        <v>148</v>
      </c>
      <c r="I109" s="162">
        <f aca="true" t="shared" si="47" ref="I109:J130">H109*0.99</f>
        <v>146.52</v>
      </c>
      <c r="J109" s="163">
        <f t="shared" si="47"/>
        <v>145.0548</v>
      </c>
      <c r="K109" s="166">
        <f aca="true" t="shared" si="48" ref="K109:Q119">D109*1.5</f>
        <v>220.5</v>
      </c>
      <c r="L109" s="167">
        <f t="shared" si="48"/>
        <v>222</v>
      </c>
      <c r="M109" s="167">
        <f t="shared" si="48"/>
        <v>219</v>
      </c>
      <c r="N109" s="167">
        <f t="shared" si="48"/>
        <v>225</v>
      </c>
      <c r="O109" s="167">
        <f t="shared" si="48"/>
        <v>222</v>
      </c>
      <c r="P109" s="167">
        <f t="shared" si="48"/>
        <v>219.78000000000003</v>
      </c>
      <c r="Q109" s="167">
        <f t="shared" si="48"/>
        <v>217.5822</v>
      </c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</row>
    <row r="110" spans="1:17" s="309" customFormat="1" ht="15.75" customHeight="1">
      <c r="A110" s="12">
        <f>A109+1</f>
        <v>98</v>
      </c>
      <c r="B110" s="97" t="s">
        <v>989</v>
      </c>
      <c r="C110" s="15" t="s">
        <v>604</v>
      </c>
      <c r="D110" s="162" t="s">
        <v>998</v>
      </c>
      <c r="E110" s="162">
        <f>2+2+15</f>
        <v>19</v>
      </c>
      <c r="F110" s="162">
        <f>1+1</f>
        <v>2</v>
      </c>
      <c r="G110" s="162">
        <f>1+1+2</f>
        <v>4</v>
      </c>
      <c r="H110" s="162">
        <f>1+1</f>
        <v>2</v>
      </c>
      <c r="I110" s="162">
        <f t="shared" si="47"/>
        <v>1.98</v>
      </c>
      <c r="J110" s="163">
        <f t="shared" si="47"/>
        <v>1.9602</v>
      </c>
      <c r="K110" s="166" t="s">
        <v>998</v>
      </c>
      <c r="L110" s="167">
        <f aca="true" t="shared" si="49" ref="L110:Q110">E110*1.5</f>
        <v>28.5</v>
      </c>
      <c r="M110" s="167">
        <f t="shared" si="49"/>
        <v>3</v>
      </c>
      <c r="N110" s="167">
        <f t="shared" si="49"/>
        <v>6</v>
      </c>
      <c r="O110" s="167">
        <f t="shared" si="49"/>
        <v>3</v>
      </c>
      <c r="P110" s="167">
        <f t="shared" si="49"/>
        <v>2.9699999999999998</v>
      </c>
      <c r="Q110" s="167">
        <f t="shared" si="49"/>
        <v>2.9402999999999997</v>
      </c>
    </row>
    <row r="111" spans="1:17" s="309" customFormat="1" ht="15.75" customHeight="1">
      <c r="A111" s="12">
        <f aca="true" t="shared" si="50" ref="A111:A130">A110+1</f>
        <v>99</v>
      </c>
      <c r="B111" s="97" t="s">
        <v>1106</v>
      </c>
      <c r="C111" s="15" t="s">
        <v>603</v>
      </c>
      <c r="D111" s="162">
        <v>1</v>
      </c>
      <c r="E111" s="162">
        <v>1</v>
      </c>
      <c r="F111" s="162">
        <v>1</v>
      </c>
      <c r="G111" s="162" t="s">
        <v>998</v>
      </c>
      <c r="H111" s="162" t="s">
        <v>998</v>
      </c>
      <c r="I111" s="162" t="s">
        <v>998</v>
      </c>
      <c r="J111" s="163" t="s">
        <v>998</v>
      </c>
      <c r="K111" s="166">
        <f t="shared" si="48"/>
        <v>1.5</v>
      </c>
      <c r="L111" s="167">
        <f>E111*1.5</f>
        <v>1.5</v>
      </c>
      <c r="M111" s="167">
        <f>F111*1.5</f>
        <v>1.5</v>
      </c>
      <c r="N111" s="167" t="s">
        <v>998</v>
      </c>
      <c r="O111" s="167" t="s">
        <v>998</v>
      </c>
      <c r="P111" s="167" t="s">
        <v>998</v>
      </c>
      <c r="Q111" s="167" t="s">
        <v>998</v>
      </c>
    </row>
    <row r="112" spans="1:28" s="136" customFormat="1" ht="15.75" customHeight="1">
      <c r="A112" s="12">
        <f t="shared" si="50"/>
        <v>100</v>
      </c>
      <c r="B112" s="97" t="s">
        <v>930</v>
      </c>
      <c r="C112" s="15" t="s">
        <v>931</v>
      </c>
      <c r="D112" s="162">
        <f>65-2</f>
        <v>63</v>
      </c>
      <c r="E112" s="162">
        <f>65-1</f>
        <v>64</v>
      </c>
      <c r="F112" s="162">
        <v>66</v>
      </c>
      <c r="G112" s="162">
        <v>57</v>
      </c>
      <c r="H112" s="162">
        <v>58</v>
      </c>
      <c r="I112" s="162">
        <f t="shared" si="47"/>
        <v>57.42</v>
      </c>
      <c r="J112" s="163">
        <f t="shared" si="47"/>
        <v>56.845800000000004</v>
      </c>
      <c r="K112" s="166">
        <f t="shared" si="48"/>
        <v>94.5</v>
      </c>
      <c r="L112" s="167">
        <f t="shared" si="48"/>
        <v>96</v>
      </c>
      <c r="M112" s="167">
        <f t="shared" si="48"/>
        <v>99</v>
      </c>
      <c r="N112" s="167">
        <f t="shared" si="48"/>
        <v>85.5</v>
      </c>
      <c r="O112" s="167">
        <f t="shared" si="48"/>
        <v>87</v>
      </c>
      <c r="P112" s="167">
        <f t="shared" si="48"/>
        <v>86.13</v>
      </c>
      <c r="Q112" s="167">
        <f t="shared" si="48"/>
        <v>85.26870000000001</v>
      </c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</row>
    <row r="113" spans="1:28" s="136" customFormat="1" ht="15.75" customHeight="1">
      <c r="A113" s="12">
        <f t="shared" si="50"/>
        <v>101</v>
      </c>
      <c r="B113" s="105" t="s">
        <v>1318</v>
      </c>
      <c r="C113" s="15">
        <v>15030121</v>
      </c>
      <c r="D113" s="162">
        <v>77</v>
      </c>
      <c r="E113" s="162">
        <v>70</v>
      </c>
      <c r="F113" s="162">
        <v>73</v>
      </c>
      <c r="G113" s="162">
        <v>75</v>
      </c>
      <c r="H113" s="162">
        <v>75</v>
      </c>
      <c r="I113" s="162">
        <f t="shared" si="47"/>
        <v>74.25</v>
      </c>
      <c r="J113" s="163">
        <f t="shared" si="47"/>
        <v>73.5075</v>
      </c>
      <c r="K113" s="166">
        <f t="shared" si="48"/>
        <v>115.5</v>
      </c>
      <c r="L113" s="167">
        <f t="shared" si="48"/>
        <v>105</v>
      </c>
      <c r="M113" s="167">
        <f t="shared" si="48"/>
        <v>109.5</v>
      </c>
      <c r="N113" s="167">
        <f t="shared" si="48"/>
        <v>112.5</v>
      </c>
      <c r="O113" s="167">
        <f t="shared" si="48"/>
        <v>112.5</v>
      </c>
      <c r="P113" s="167">
        <f t="shared" si="48"/>
        <v>111.375</v>
      </c>
      <c r="Q113" s="167">
        <f t="shared" si="48"/>
        <v>110.26124999999999</v>
      </c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</row>
    <row r="114" spans="1:28" s="136" customFormat="1" ht="15.75" customHeight="1">
      <c r="A114" s="12">
        <f t="shared" si="50"/>
        <v>102</v>
      </c>
      <c r="B114" s="105" t="s">
        <v>788</v>
      </c>
      <c r="C114" s="15" t="s">
        <v>789</v>
      </c>
      <c r="D114" s="162">
        <v>6</v>
      </c>
      <c r="E114" s="162">
        <v>9</v>
      </c>
      <c r="F114" s="162">
        <v>12</v>
      </c>
      <c r="G114" s="162">
        <v>12</v>
      </c>
      <c r="H114" s="162">
        <v>12</v>
      </c>
      <c r="I114" s="162">
        <f t="shared" si="47"/>
        <v>11.879999999999999</v>
      </c>
      <c r="J114" s="163">
        <f t="shared" si="47"/>
        <v>11.761199999999999</v>
      </c>
      <c r="K114" s="166">
        <f t="shared" si="48"/>
        <v>9</v>
      </c>
      <c r="L114" s="167">
        <f t="shared" si="48"/>
        <v>13.5</v>
      </c>
      <c r="M114" s="167">
        <f t="shared" si="48"/>
        <v>18</v>
      </c>
      <c r="N114" s="167">
        <f t="shared" si="48"/>
        <v>18</v>
      </c>
      <c r="O114" s="167">
        <f t="shared" si="48"/>
        <v>18</v>
      </c>
      <c r="P114" s="167">
        <f t="shared" si="48"/>
        <v>17.82</v>
      </c>
      <c r="Q114" s="167">
        <f t="shared" si="48"/>
        <v>17.641799999999996</v>
      </c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</row>
    <row r="115" spans="1:17" s="304" customFormat="1" ht="15.75" customHeight="1">
      <c r="A115" s="12">
        <f t="shared" si="50"/>
        <v>103</v>
      </c>
      <c r="B115" s="105" t="s">
        <v>1165</v>
      </c>
      <c r="C115" s="15" t="s">
        <v>353</v>
      </c>
      <c r="D115" s="162" t="s">
        <v>998</v>
      </c>
      <c r="E115" s="162">
        <v>2</v>
      </c>
      <c r="F115" s="162">
        <v>3</v>
      </c>
      <c r="G115" s="162">
        <v>3</v>
      </c>
      <c r="H115" s="162">
        <v>2</v>
      </c>
      <c r="I115" s="162">
        <f t="shared" si="47"/>
        <v>1.98</v>
      </c>
      <c r="J115" s="163">
        <f t="shared" si="47"/>
        <v>1.9602</v>
      </c>
      <c r="K115" s="166" t="s">
        <v>998</v>
      </c>
      <c r="L115" s="167">
        <f t="shared" si="48"/>
        <v>3</v>
      </c>
      <c r="M115" s="167">
        <f t="shared" si="48"/>
        <v>4.5</v>
      </c>
      <c r="N115" s="167">
        <f t="shared" si="48"/>
        <v>4.5</v>
      </c>
      <c r="O115" s="167">
        <f t="shared" si="48"/>
        <v>3</v>
      </c>
      <c r="P115" s="167">
        <f t="shared" si="48"/>
        <v>2.9699999999999998</v>
      </c>
      <c r="Q115" s="167">
        <f t="shared" si="48"/>
        <v>2.9402999999999997</v>
      </c>
    </row>
    <row r="116" spans="1:28" s="136" customFormat="1" ht="15.75" customHeight="1">
      <c r="A116" s="12">
        <f t="shared" si="50"/>
        <v>104</v>
      </c>
      <c r="B116" s="97" t="s">
        <v>453</v>
      </c>
      <c r="C116" s="15" t="s">
        <v>454</v>
      </c>
      <c r="D116" s="162">
        <v>42</v>
      </c>
      <c r="E116" s="162">
        <v>45</v>
      </c>
      <c r="F116" s="162">
        <f>45+1</f>
        <v>46</v>
      </c>
      <c r="G116" s="162">
        <v>47</v>
      </c>
      <c r="H116" s="162">
        <v>48</v>
      </c>
      <c r="I116" s="162">
        <f t="shared" si="47"/>
        <v>47.519999999999996</v>
      </c>
      <c r="J116" s="163">
        <f t="shared" si="47"/>
        <v>47.044799999999995</v>
      </c>
      <c r="K116" s="166">
        <f t="shared" si="48"/>
        <v>63</v>
      </c>
      <c r="L116" s="167">
        <f t="shared" si="48"/>
        <v>67.5</v>
      </c>
      <c r="M116" s="167">
        <f t="shared" si="48"/>
        <v>69</v>
      </c>
      <c r="N116" s="167">
        <f t="shared" si="48"/>
        <v>70.5</v>
      </c>
      <c r="O116" s="167">
        <f t="shared" si="48"/>
        <v>72</v>
      </c>
      <c r="P116" s="167">
        <f t="shared" si="48"/>
        <v>71.28</v>
      </c>
      <c r="Q116" s="167">
        <f t="shared" si="48"/>
        <v>70.56719999999999</v>
      </c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</row>
    <row r="117" spans="1:28" s="136" customFormat="1" ht="15.75" customHeight="1">
      <c r="A117" s="12">
        <f t="shared" si="50"/>
        <v>105</v>
      </c>
      <c r="B117" s="97" t="s">
        <v>1301</v>
      </c>
      <c r="C117" s="15" t="s">
        <v>1302</v>
      </c>
      <c r="D117" s="162">
        <v>22</v>
      </c>
      <c r="E117" s="162">
        <v>14</v>
      </c>
      <c r="F117" s="162">
        <v>17</v>
      </c>
      <c r="G117" s="162">
        <v>19</v>
      </c>
      <c r="H117" s="162">
        <v>20</v>
      </c>
      <c r="I117" s="162">
        <f t="shared" si="47"/>
        <v>19.8</v>
      </c>
      <c r="J117" s="163">
        <f t="shared" si="47"/>
        <v>19.602</v>
      </c>
      <c r="K117" s="166">
        <f t="shared" si="48"/>
        <v>33</v>
      </c>
      <c r="L117" s="167">
        <f t="shared" si="48"/>
        <v>21</v>
      </c>
      <c r="M117" s="167">
        <f t="shared" si="48"/>
        <v>25.5</v>
      </c>
      <c r="N117" s="167">
        <f t="shared" si="48"/>
        <v>28.5</v>
      </c>
      <c r="O117" s="167">
        <f t="shared" si="48"/>
        <v>30</v>
      </c>
      <c r="P117" s="167">
        <f t="shared" si="48"/>
        <v>29.700000000000003</v>
      </c>
      <c r="Q117" s="167">
        <f t="shared" si="48"/>
        <v>29.403</v>
      </c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</row>
    <row r="118" spans="1:28" s="136" customFormat="1" ht="15.75" customHeight="1">
      <c r="A118" s="12">
        <f t="shared" si="50"/>
        <v>106</v>
      </c>
      <c r="B118" s="105" t="s">
        <v>899</v>
      </c>
      <c r="C118" s="15">
        <v>15050133</v>
      </c>
      <c r="D118" s="162">
        <v>2</v>
      </c>
      <c r="E118" s="162">
        <v>3</v>
      </c>
      <c r="F118" s="162">
        <v>5</v>
      </c>
      <c r="G118" s="162">
        <v>7</v>
      </c>
      <c r="H118" s="162">
        <v>7</v>
      </c>
      <c r="I118" s="162">
        <f t="shared" si="47"/>
        <v>6.93</v>
      </c>
      <c r="J118" s="163">
        <f t="shared" si="47"/>
        <v>6.8607</v>
      </c>
      <c r="K118" s="166">
        <f t="shared" si="48"/>
        <v>3</v>
      </c>
      <c r="L118" s="167">
        <f t="shared" si="48"/>
        <v>4.5</v>
      </c>
      <c r="M118" s="167">
        <f t="shared" si="48"/>
        <v>7.5</v>
      </c>
      <c r="N118" s="167">
        <f t="shared" si="48"/>
        <v>10.5</v>
      </c>
      <c r="O118" s="167">
        <f t="shared" si="48"/>
        <v>10.5</v>
      </c>
      <c r="P118" s="167">
        <f t="shared" si="48"/>
        <v>10.395</v>
      </c>
      <c r="Q118" s="167">
        <f t="shared" si="48"/>
        <v>10.291049999999998</v>
      </c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</row>
    <row r="119" spans="1:28" s="136" customFormat="1" ht="15.75" customHeight="1">
      <c r="A119" s="12">
        <f t="shared" si="50"/>
        <v>107</v>
      </c>
      <c r="B119" s="105" t="s">
        <v>1303</v>
      </c>
      <c r="C119" s="15" t="s">
        <v>1308</v>
      </c>
      <c r="D119" s="162">
        <v>10</v>
      </c>
      <c r="E119" s="162">
        <v>10</v>
      </c>
      <c r="F119" s="162">
        <v>14</v>
      </c>
      <c r="G119" s="162">
        <v>10</v>
      </c>
      <c r="H119" s="162">
        <v>14</v>
      </c>
      <c r="I119" s="162">
        <f t="shared" si="47"/>
        <v>13.86</v>
      </c>
      <c r="J119" s="163">
        <f t="shared" si="47"/>
        <v>13.7214</v>
      </c>
      <c r="K119" s="166">
        <f t="shared" si="48"/>
        <v>15</v>
      </c>
      <c r="L119" s="167">
        <f t="shared" si="48"/>
        <v>15</v>
      </c>
      <c r="M119" s="167">
        <f t="shared" si="48"/>
        <v>21</v>
      </c>
      <c r="N119" s="167">
        <f t="shared" si="48"/>
        <v>15</v>
      </c>
      <c r="O119" s="167">
        <f t="shared" si="48"/>
        <v>21</v>
      </c>
      <c r="P119" s="167">
        <f t="shared" si="48"/>
        <v>20.79</v>
      </c>
      <c r="Q119" s="167">
        <f t="shared" si="48"/>
        <v>20.582099999999997</v>
      </c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</row>
    <row r="120" spans="1:28" s="138" customFormat="1" ht="15.75" customHeight="1">
      <c r="A120" s="12">
        <f t="shared" si="50"/>
        <v>108</v>
      </c>
      <c r="B120" s="97" t="s">
        <v>901</v>
      </c>
      <c r="C120" s="15" t="s">
        <v>902</v>
      </c>
      <c r="D120" s="162">
        <v>2</v>
      </c>
      <c r="E120" s="162">
        <v>2</v>
      </c>
      <c r="F120" s="162">
        <v>3</v>
      </c>
      <c r="G120" s="162" t="s">
        <v>556</v>
      </c>
      <c r="H120" s="162">
        <v>2</v>
      </c>
      <c r="I120" s="162">
        <f t="shared" si="47"/>
        <v>1.98</v>
      </c>
      <c r="J120" s="163">
        <f t="shared" si="47"/>
        <v>1.9602</v>
      </c>
      <c r="K120" s="166">
        <f aca="true" t="shared" si="51" ref="K120:M124">D120*1.5</f>
        <v>3</v>
      </c>
      <c r="L120" s="167">
        <f t="shared" si="51"/>
        <v>3</v>
      </c>
      <c r="M120" s="167">
        <f t="shared" si="51"/>
        <v>4.5</v>
      </c>
      <c r="N120" s="162" t="s">
        <v>556</v>
      </c>
      <c r="O120" s="167">
        <f aca="true" t="shared" si="52" ref="O120:O130">H120*1.5</f>
        <v>3</v>
      </c>
      <c r="P120" s="167">
        <f aca="true" t="shared" si="53" ref="P120:P130">I120*1.5</f>
        <v>2.9699999999999998</v>
      </c>
      <c r="Q120" s="167">
        <f aca="true" t="shared" si="54" ref="Q120:Q130">J120*1.5</f>
        <v>2.9402999999999997</v>
      </c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</row>
    <row r="121" spans="1:28" s="138" customFormat="1" ht="16.5" customHeight="1">
      <c r="A121" s="12">
        <f t="shared" si="50"/>
        <v>109</v>
      </c>
      <c r="B121" s="97" t="s">
        <v>1304</v>
      </c>
      <c r="C121" s="15" t="s">
        <v>1305</v>
      </c>
      <c r="D121" s="162">
        <v>1</v>
      </c>
      <c r="E121" s="162">
        <v>2</v>
      </c>
      <c r="F121" s="162">
        <v>3</v>
      </c>
      <c r="G121" s="162">
        <v>5</v>
      </c>
      <c r="H121" s="162">
        <v>5</v>
      </c>
      <c r="I121" s="162">
        <f t="shared" si="47"/>
        <v>4.95</v>
      </c>
      <c r="J121" s="163">
        <f t="shared" si="47"/>
        <v>4.9005</v>
      </c>
      <c r="K121" s="166">
        <f t="shared" si="51"/>
        <v>1.5</v>
      </c>
      <c r="L121" s="167">
        <f t="shared" si="51"/>
        <v>3</v>
      </c>
      <c r="M121" s="167">
        <f t="shared" si="51"/>
        <v>4.5</v>
      </c>
      <c r="N121" s="167">
        <f>G121*1.5</f>
        <v>7.5</v>
      </c>
      <c r="O121" s="167">
        <f t="shared" si="52"/>
        <v>7.5</v>
      </c>
      <c r="P121" s="167">
        <f t="shared" si="53"/>
        <v>7.425000000000001</v>
      </c>
      <c r="Q121" s="167">
        <f t="shared" si="54"/>
        <v>7.35075</v>
      </c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</row>
    <row r="122" spans="1:28" s="136" customFormat="1" ht="17.25" customHeight="1">
      <c r="A122" s="12">
        <f t="shared" si="50"/>
        <v>110</v>
      </c>
      <c r="B122" s="105" t="s">
        <v>790</v>
      </c>
      <c r="C122" s="15" t="s">
        <v>791</v>
      </c>
      <c r="D122" s="162">
        <v>24</v>
      </c>
      <c r="E122" s="162">
        <v>27</v>
      </c>
      <c r="F122" s="162">
        <v>36</v>
      </c>
      <c r="G122" s="162">
        <v>36</v>
      </c>
      <c r="H122" s="162">
        <v>38</v>
      </c>
      <c r="I122" s="162">
        <f t="shared" si="47"/>
        <v>37.62</v>
      </c>
      <c r="J122" s="163">
        <f t="shared" si="47"/>
        <v>37.2438</v>
      </c>
      <c r="K122" s="166">
        <f t="shared" si="51"/>
        <v>36</v>
      </c>
      <c r="L122" s="167">
        <f t="shared" si="51"/>
        <v>40.5</v>
      </c>
      <c r="M122" s="167">
        <f t="shared" si="51"/>
        <v>54</v>
      </c>
      <c r="N122" s="167">
        <f>G122*1.5</f>
        <v>54</v>
      </c>
      <c r="O122" s="167">
        <f t="shared" si="52"/>
        <v>57</v>
      </c>
      <c r="P122" s="167">
        <f t="shared" si="53"/>
        <v>56.42999999999999</v>
      </c>
      <c r="Q122" s="167">
        <f t="shared" si="54"/>
        <v>55.865700000000004</v>
      </c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</row>
    <row r="123" spans="1:28" s="136" customFormat="1" ht="17.25" customHeight="1">
      <c r="A123" s="12">
        <f t="shared" si="50"/>
        <v>111</v>
      </c>
      <c r="B123" s="97" t="s">
        <v>897</v>
      </c>
      <c r="C123" s="15" t="s">
        <v>898</v>
      </c>
      <c r="D123" s="162">
        <f>7-1+1-2</f>
        <v>5</v>
      </c>
      <c r="E123" s="162">
        <f>6-1+1-2</f>
        <v>4</v>
      </c>
      <c r="F123" s="162">
        <f>6+1-2</f>
        <v>5</v>
      </c>
      <c r="G123" s="162">
        <f>3+1-2</f>
        <v>2</v>
      </c>
      <c r="H123" s="162">
        <f>4-1</f>
        <v>3</v>
      </c>
      <c r="I123" s="162">
        <f t="shared" si="47"/>
        <v>2.9699999999999998</v>
      </c>
      <c r="J123" s="163">
        <f t="shared" si="47"/>
        <v>2.9402999999999997</v>
      </c>
      <c r="K123" s="166">
        <f t="shared" si="51"/>
        <v>7.5</v>
      </c>
      <c r="L123" s="167">
        <f t="shared" si="51"/>
        <v>6</v>
      </c>
      <c r="M123" s="167">
        <f t="shared" si="51"/>
        <v>7.5</v>
      </c>
      <c r="N123" s="167">
        <f>G123*1.5</f>
        <v>3</v>
      </c>
      <c r="O123" s="167">
        <f t="shared" si="52"/>
        <v>4.5</v>
      </c>
      <c r="P123" s="167">
        <f t="shared" si="53"/>
        <v>4.455</v>
      </c>
      <c r="Q123" s="167">
        <f t="shared" si="54"/>
        <v>4.410449999999999</v>
      </c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</row>
    <row r="124" spans="1:28" s="136" customFormat="1" ht="17.25" customHeight="1">
      <c r="A124" s="12">
        <f t="shared" si="50"/>
        <v>112</v>
      </c>
      <c r="B124" s="97" t="s">
        <v>630</v>
      </c>
      <c r="C124" s="66" t="s">
        <v>631</v>
      </c>
      <c r="D124" s="162">
        <f>9-1+1</f>
        <v>9</v>
      </c>
      <c r="E124" s="162">
        <f>10-1+2</f>
        <v>11</v>
      </c>
      <c r="F124" s="162">
        <f>9+1</f>
        <v>10</v>
      </c>
      <c r="G124" s="162">
        <v>11</v>
      </c>
      <c r="H124" s="162">
        <v>11</v>
      </c>
      <c r="I124" s="162">
        <f t="shared" si="47"/>
        <v>10.89</v>
      </c>
      <c r="J124" s="163">
        <f t="shared" si="47"/>
        <v>10.7811</v>
      </c>
      <c r="K124" s="166">
        <f t="shared" si="51"/>
        <v>13.5</v>
      </c>
      <c r="L124" s="167">
        <f t="shared" si="51"/>
        <v>16.5</v>
      </c>
      <c r="M124" s="167">
        <f t="shared" si="51"/>
        <v>15</v>
      </c>
      <c r="N124" s="167">
        <f>G124*1.5</f>
        <v>16.5</v>
      </c>
      <c r="O124" s="167">
        <f t="shared" si="52"/>
        <v>16.5</v>
      </c>
      <c r="P124" s="167">
        <f t="shared" si="53"/>
        <v>16.335</v>
      </c>
      <c r="Q124" s="167">
        <f t="shared" si="54"/>
        <v>16.17165</v>
      </c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</row>
    <row r="125" spans="1:28" s="138" customFormat="1" ht="17.25" customHeight="1">
      <c r="A125" s="12">
        <f t="shared" si="50"/>
        <v>113</v>
      </c>
      <c r="B125" s="97" t="s">
        <v>255</v>
      </c>
      <c r="C125" s="15" t="s">
        <v>256</v>
      </c>
      <c r="D125" s="162">
        <v>1</v>
      </c>
      <c r="E125" s="162" t="s">
        <v>556</v>
      </c>
      <c r="F125" s="162" t="s">
        <v>556</v>
      </c>
      <c r="G125" s="162" t="s">
        <v>556</v>
      </c>
      <c r="H125" s="162">
        <v>1</v>
      </c>
      <c r="I125" s="162">
        <f t="shared" si="47"/>
        <v>0.99</v>
      </c>
      <c r="J125" s="163">
        <f t="shared" si="47"/>
        <v>0.9801</v>
      </c>
      <c r="K125" s="166">
        <f>D125*1.5</f>
        <v>1.5</v>
      </c>
      <c r="L125" s="162" t="s">
        <v>556</v>
      </c>
      <c r="M125" s="162" t="s">
        <v>556</v>
      </c>
      <c r="N125" s="162" t="s">
        <v>556</v>
      </c>
      <c r="O125" s="167">
        <f t="shared" si="52"/>
        <v>1.5</v>
      </c>
      <c r="P125" s="167">
        <f t="shared" si="53"/>
        <v>1.4849999999999999</v>
      </c>
      <c r="Q125" s="167">
        <f t="shared" si="54"/>
        <v>1.4701499999999998</v>
      </c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</row>
    <row r="126" spans="1:28" s="136" customFormat="1" ht="32.25" customHeight="1">
      <c r="A126" s="12">
        <f t="shared" si="50"/>
        <v>114</v>
      </c>
      <c r="B126" s="105" t="s">
        <v>18</v>
      </c>
      <c r="C126" s="15" t="s">
        <v>19</v>
      </c>
      <c r="D126" s="162">
        <f>6-2+2</f>
        <v>6</v>
      </c>
      <c r="E126" s="162">
        <f>7-2+2+1</f>
        <v>8</v>
      </c>
      <c r="F126" s="162">
        <f>5-2+1+1</f>
        <v>5</v>
      </c>
      <c r="G126" s="162">
        <f>5-2+1</f>
        <v>4</v>
      </c>
      <c r="H126" s="162">
        <f>5-2+1</f>
        <v>4</v>
      </c>
      <c r="I126" s="162">
        <f t="shared" si="47"/>
        <v>3.96</v>
      </c>
      <c r="J126" s="163">
        <f t="shared" si="47"/>
        <v>3.9204</v>
      </c>
      <c r="K126" s="166">
        <f>D126*1.5</f>
        <v>9</v>
      </c>
      <c r="L126" s="167">
        <f aca="true" t="shared" si="55" ref="L126:N130">E126*1.5</f>
        <v>12</v>
      </c>
      <c r="M126" s="167">
        <f t="shared" si="55"/>
        <v>7.5</v>
      </c>
      <c r="N126" s="167">
        <f t="shared" si="55"/>
        <v>6</v>
      </c>
      <c r="O126" s="167">
        <f t="shared" si="52"/>
        <v>6</v>
      </c>
      <c r="P126" s="167">
        <f t="shared" si="53"/>
        <v>5.9399999999999995</v>
      </c>
      <c r="Q126" s="167">
        <f t="shared" si="54"/>
        <v>5.880599999999999</v>
      </c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</row>
    <row r="127" spans="1:28" s="138" customFormat="1" ht="16.5" customHeight="1">
      <c r="A127" s="12">
        <f t="shared" si="50"/>
        <v>115</v>
      </c>
      <c r="B127" s="97" t="s">
        <v>620</v>
      </c>
      <c r="C127" s="15" t="s">
        <v>621</v>
      </c>
      <c r="D127" s="162">
        <v>13</v>
      </c>
      <c r="E127" s="162">
        <v>8</v>
      </c>
      <c r="F127" s="162">
        <v>8</v>
      </c>
      <c r="G127" s="162">
        <v>8</v>
      </c>
      <c r="H127" s="162">
        <v>8</v>
      </c>
      <c r="I127" s="162">
        <f t="shared" si="47"/>
        <v>7.92</v>
      </c>
      <c r="J127" s="163">
        <f t="shared" si="47"/>
        <v>7.8408</v>
      </c>
      <c r="K127" s="166">
        <f>D127*1.5</f>
        <v>19.5</v>
      </c>
      <c r="L127" s="167">
        <f t="shared" si="55"/>
        <v>12</v>
      </c>
      <c r="M127" s="167">
        <f t="shared" si="55"/>
        <v>12</v>
      </c>
      <c r="N127" s="167">
        <f t="shared" si="55"/>
        <v>12</v>
      </c>
      <c r="O127" s="167">
        <f t="shared" si="52"/>
        <v>12</v>
      </c>
      <c r="P127" s="167">
        <f t="shared" si="53"/>
        <v>11.879999999999999</v>
      </c>
      <c r="Q127" s="167">
        <f t="shared" si="54"/>
        <v>11.761199999999999</v>
      </c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</row>
    <row r="128" spans="1:28" s="136" customFormat="1" ht="16.5" customHeight="1">
      <c r="A128" s="12">
        <f t="shared" si="50"/>
        <v>116</v>
      </c>
      <c r="B128" s="105" t="s">
        <v>792</v>
      </c>
      <c r="C128" s="15" t="s">
        <v>793</v>
      </c>
      <c r="D128" s="162">
        <v>18</v>
      </c>
      <c r="E128" s="162">
        <v>10</v>
      </c>
      <c r="F128" s="162">
        <v>10</v>
      </c>
      <c r="G128" s="162">
        <v>11</v>
      </c>
      <c r="H128" s="162">
        <v>10</v>
      </c>
      <c r="I128" s="162">
        <f t="shared" si="47"/>
        <v>9.9</v>
      </c>
      <c r="J128" s="163">
        <f t="shared" si="47"/>
        <v>9.801</v>
      </c>
      <c r="K128" s="166">
        <f>D128*1.5</f>
        <v>27</v>
      </c>
      <c r="L128" s="167">
        <f t="shared" si="55"/>
        <v>15</v>
      </c>
      <c r="M128" s="167">
        <f t="shared" si="55"/>
        <v>15</v>
      </c>
      <c r="N128" s="167">
        <f t="shared" si="55"/>
        <v>16.5</v>
      </c>
      <c r="O128" s="167">
        <f t="shared" si="52"/>
        <v>15</v>
      </c>
      <c r="P128" s="167">
        <f t="shared" si="53"/>
        <v>14.850000000000001</v>
      </c>
      <c r="Q128" s="167">
        <f t="shared" si="54"/>
        <v>14.7015</v>
      </c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</row>
    <row r="129" spans="1:20" s="308" customFormat="1" ht="16.5" customHeight="1">
      <c r="A129" s="12">
        <f t="shared" si="50"/>
        <v>117</v>
      </c>
      <c r="B129" s="97" t="s">
        <v>128</v>
      </c>
      <c r="C129" s="15" t="s">
        <v>537</v>
      </c>
      <c r="D129" s="162" t="s">
        <v>998</v>
      </c>
      <c r="E129" s="162">
        <v>1</v>
      </c>
      <c r="F129" s="162" t="s">
        <v>998</v>
      </c>
      <c r="G129" s="162">
        <v>1</v>
      </c>
      <c r="H129" s="162" t="s">
        <v>998</v>
      </c>
      <c r="I129" s="162" t="s">
        <v>998</v>
      </c>
      <c r="J129" s="197" t="s">
        <v>998</v>
      </c>
      <c r="K129" s="329" t="s">
        <v>998</v>
      </c>
      <c r="L129" s="167">
        <f>E129*1.28</f>
        <v>1.28</v>
      </c>
      <c r="M129" s="167" t="s">
        <v>998</v>
      </c>
      <c r="N129" s="167">
        <f>G129*1.28</f>
        <v>1.28</v>
      </c>
      <c r="O129" s="167" t="s">
        <v>998</v>
      </c>
      <c r="P129" s="167" t="s">
        <v>998</v>
      </c>
      <c r="Q129" s="167" t="s">
        <v>998</v>
      </c>
      <c r="R129" s="311"/>
      <c r="S129" s="311"/>
      <c r="T129" s="312"/>
    </row>
    <row r="130" spans="1:28" s="138" customFormat="1" ht="16.5" customHeight="1">
      <c r="A130" s="12">
        <f t="shared" si="50"/>
        <v>118</v>
      </c>
      <c r="B130" s="97" t="s">
        <v>607</v>
      </c>
      <c r="C130" s="15" t="s">
        <v>608</v>
      </c>
      <c r="D130" s="162">
        <v>8</v>
      </c>
      <c r="E130" s="162">
        <f>1+2</f>
        <v>3</v>
      </c>
      <c r="F130" s="162">
        <v>1</v>
      </c>
      <c r="G130" s="162">
        <v>1</v>
      </c>
      <c r="H130" s="162">
        <v>1</v>
      </c>
      <c r="I130" s="162">
        <f t="shared" si="47"/>
        <v>0.99</v>
      </c>
      <c r="J130" s="197">
        <f t="shared" si="47"/>
        <v>0.9801</v>
      </c>
      <c r="K130" s="329">
        <f>D130*1.5</f>
        <v>12</v>
      </c>
      <c r="L130" s="167">
        <f t="shared" si="55"/>
        <v>4.5</v>
      </c>
      <c r="M130" s="167">
        <f t="shared" si="55"/>
        <v>1.5</v>
      </c>
      <c r="N130" s="167">
        <f t="shared" si="55"/>
        <v>1.5</v>
      </c>
      <c r="O130" s="167">
        <f t="shared" si="52"/>
        <v>1.5</v>
      </c>
      <c r="P130" s="167">
        <f t="shared" si="53"/>
        <v>1.4849999999999999</v>
      </c>
      <c r="Q130" s="167">
        <f t="shared" si="54"/>
        <v>1.4701499999999998</v>
      </c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</row>
    <row r="131" spans="1:19" ht="38.25" customHeight="1">
      <c r="A131" s="406" t="s">
        <v>623</v>
      </c>
      <c r="B131" s="406"/>
      <c r="C131" s="406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139"/>
      <c r="S131" s="139"/>
    </row>
    <row r="132" spans="1:28" s="138" customFormat="1" ht="16.5" customHeight="1">
      <c r="A132" s="12">
        <f>A130+1</f>
        <v>119</v>
      </c>
      <c r="B132" s="97" t="s">
        <v>531</v>
      </c>
      <c r="C132" s="15" t="s">
        <v>532</v>
      </c>
      <c r="D132" s="162">
        <v>14</v>
      </c>
      <c r="E132" s="162">
        <v>15</v>
      </c>
      <c r="F132" s="162">
        <v>14</v>
      </c>
      <c r="G132" s="162">
        <v>16</v>
      </c>
      <c r="H132" s="162">
        <v>16</v>
      </c>
      <c r="I132" s="162">
        <f aca="true" t="shared" si="56" ref="I132:J139">H132*0.99</f>
        <v>15.84</v>
      </c>
      <c r="J132" s="163">
        <f t="shared" si="56"/>
        <v>15.6816</v>
      </c>
      <c r="K132" s="161">
        <f aca="true" t="shared" si="57" ref="K132:Q139">D132*2.81</f>
        <v>39.34</v>
      </c>
      <c r="L132" s="162">
        <f t="shared" si="57"/>
        <v>42.15</v>
      </c>
      <c r="M132" s="162">
        <f t="shared" si="57"/>
        <v>39.34</v>
      </c>
      <c r="N132" s="162">
        <f t="shared" si="57"/>
        <v>44.96</v>
      </c>
      <c r="O132" s="162">
        <f t="shared" si="57"/>
        <v>44.96</v>
      </c>
      <c r="P132" s="162">
        <f t="shared" si="57"/>
        <v>44.5104</v>
      </c>
      <c r="Q132" s="162">
        <f t="shared" si="57"/>
        <v>44.065296</v>
      </c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</row>
    <row r="133" spans="1:28" s="138" customFormat="1" ht="16.5" customHeight="1">
      <c r="A133" s="12">
        <f>A132+1</f>
        <v>120</v>
      </c>
      <c r="B133" s="97" t="s">
        <v>529</v>
      </c>
      <c r="C133" s="15" t="s">
        <v>530</v>
      </c>
      <c r="D133" s="162">
        <v>3</v>
      </c>
      <c r="E133" s="162">
        <v>1</v>
      </c>
      <c r="F133" s="162">
        <v>3</v>
      </c>
      <c r="G133" s="162">
        <v>1</v>
      </c>
      <c r="H133" s="162">
        <v>2</v>
      </c>
      <c r="I133" s="162">
        <f t="shared" si="56"/>
        <v>1.98</v>
      </c>
      <c r="J133" s="163">
        <f t="shared" si="56"/>
        <v>1.9602</v>
      </c>
      <c r="K133" s="161">
        <f t="shared" si="57"/>
        <v>8.43</v>
      </c>
      <c r="L133" s="162">
        <f t="shared" si="57"/>
        <v>2.81</v>
      </c>
      <c r="M133" s="162">
        <f t="shared" si="57"/>
        <v>8.43</v>
      </c>
      <c r="N133" s="162">
        <f t="shared" si="57"/>
        <v>2.81</v>
      </c>
      <c r="O133" s="162">
        <f t="shared" si="57"/>
        <v>5.62</v>
      </c>
      <c r="P133" s="162">
        <f t="shared" si="57"/>
        <v>5.5638</v>
      </c>
      <c r="Q133" s="162">
        <f t="shared" si="57"/>
        <v>5.508162</v>
      </c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</row>
    <row r="134" spans="1:28" s="138" customFormat="1" ht="16.5" customHeight="1">
      <c r="A134" s="12">
        <f aca="true" t="shared" si="58" ref="A134:A142">A133+1</f>
        <v>121</v>
      </c>
      <c r="B134" s="97" t="s">
        <v>458</v>
      </c>
      <c r="C134" s="15" t="s">
        <v>459</v>
      </c>
      <c r="D134" s="162">
        <v>9</v>
      </c>
      <c r="E134" s="162">
        <v>11</v>
      </c>
      <c r="F134" s="162">
        <v>10</v>
      </c>
      <c r="G134" s="162">
        <v>8</v>
      </c>
      <c r="H134" s="162">
        <v>12</v>
      </c>
      <c r="I134" s="162">
        <f t="shared" si="56"/>
        <v>11.879999999999999</v>
      </c>
      <c r="J134" s="163">
        <f t="shared" si="56"/>
        <v>11.761199999999999</v>
      </c>
      <c r="K134" s="161">
        <f t="shared" si="57"/>
        <v>25.29</v>
      </c>
      <c r="L134" s="162">
        <f t="shared" si="57"/>
        <v>30.91</v>
      </c>
      <c r="M134" s="162">
        <f t="shared" si="57"/>
        <v>28.1</v>
      </c>
      <c r="N134" s="162">
        <f t="shared" si="57"/>
        <v>22.48</v>
      </c>
      <c r="O134" s="162">
        <f t="shared" si="57"/>
        <v>33.72</v>
      </c>
      <c r="P134" s="162">
        <f t="shared" si="57"/>
        <v>33.382799999999996</v>
      </c>
      <c r="Q134" s="162">
        <f t="shared" si="57"/>
        <v>33.048972</v>
      </c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</row>
    <row r="135" spans="1:28" s="138" customFormat="1" ht="16.5" customHeight="1">
      <c r="A135" s="12">
        <f t="shared" si="58"/>
        <v>122</v>
      </c>
      <c r="B135" s="97" t="s">
        <v>411</v>
      </c>
      <c r="C135" s="15" t="s">
        <v>412</v>
      </c>
      <c r="D135" s="162">
        <f>207-1</f>
        <v>206</v>
      </c>
      <c r="E135" s="162">
        <v>201</v>
      </c>
      <c r="F135" s="162">
        <v>204</v>
      </c>
      <c r="G135" s="162">
        <v>205</v>
      </c>
      <c r="H135" s="162">
        <v>201</v>
      </c>
      <c r="I135" s="162">
        <f t="shared" si="56"/>
        <v>198.99</v>
      </c>
      <c r="J135" s="163">
        <f t="shared" si="56"/>
        <v>197.0001</v>
      </c>
      <c r="K135" s="161">
        <f t="shared" si="57"/>
        <v>578.86</v>
      </c>
      <c r="L135" s="162">
        <f t="shared" si="57"/>
        <v>564.8100000000001</v>
      </c>
      <c r="M135" s="162">
        <f t="shared" si="57"/>
        <v>573.24</v>
      </c>
      <c r="N135" s="162">
        <f t="shared" si="57"/>
        <v>576.05</v>
      </c>
      <c r="O135" s="162">
        <f t="shared" si="57"/>
        <v>564.8100000000001</v>
      </c>
      <c r="P135" s="162">
        <f t="shared" si="57"/>
        <v>559.1619000000001</v>
      </c>
      <c r="Q135" s="162">
        <f t="shared" si="57"/>
        <v>553.570281</v>
      </c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</row>
    <row r="136" spans="1:28" s="138" customFormat="1" ht="16.5" customHeight="1">
      <c r="A136" s="12">
        <f t="shared" si="58"/>
        <v>123</v>
      </c>
      <c r="B136" s="97" t="s">
        <v>297</v>
      </c>
      <c r="C136" s="15" t="s">
        <v>298</v>
      </c>
      <c r="D136" s="162">
        <v>225</v>
      </c>
      <c r="E136" s="162">
        <v>225</v>
      </c>
      <c r="F136" s="162">
        <v>227</v>
      </c>
      <c r="G136" s="162">
        <v>227</v>
      </c>
      <c r="H136" s="162">
        <v>227</v>
      </c>
      <c r="I136" s="162">
        <f t="shared" si="56"/>
        <v>224.73</v>
      </c>
      <c r="J136" s="163">
        <f t="shared" si="56"/>
        <v>222.4827</v>
      </c>
      <c r="K136" s="161">
        <f t="shared" si="57"/>
        <v>632.25</v>
      </c>
      <c r="L136" s="162">
        <f t="shared" si="57"/>
        <v>632.25</v>
      </c>
      <c r="M136" s="162">
        <f t="shared" si="57"/>
        <v>637.87</v>
      </c>
      <c r="N136" s="162">
        <f t="shared" si="57"/>
        <v>637.87</v>
      </c>
      <c r="O136" s="162">
        <f t="shared" si="57"/>
        <v>637.87</v>
      </c>
      <c r="P136" s="162">
        <f t="shared" si="57"/>
        <v>631.4913</v>
      </c>
      <c r="Q136" s="162">
        <f t="shared" si="57"/>
        <v>625.176387</v>
      </c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</row>
    <row r="137" spans="1:28" s="138" customFormat="1" ht="16.5" customHeight="1">
      <c r="A137" s="12">
        <f t="shared" si="58"/>
        <v>124</v>
      </c>
      <c r="B137" s="97" t="s">
        <v>558</v>
      </c>
      <c r="C137" s="15" t="s">
        <v>452</v>
      </c>
      <c r="D137" s="162">
        <v>35</v>
      </c>
      <c r="E137" s="162">
        <v>34</v>
      </c>
      <c r="F137" s="162">
        <v>33</v>
      </c>
      <c r="G137" s="162">
        <v>32</v>
      </c>
      <c r="H137" s="162">
        <v>32</v>
      </c>
      <c r="I137" s="162">
        <f t="shared" si="56"/>
        <v>31.68</v>
      </c>
      <c r="J137" s="163">
        <f t="shared" si="56"/>
        <v>31.3632</v>
      </c>
      <c r="K137" s="161">
        <f t="shared" si="57"/>
        <v>98.35000000000001</v>
      </c>
      <c r="L137" s="162">
        <f t="shared" si="57"/>
        <v>95.54</v>
      </c>
      <c r="M137" s="162">
        <f t="shared" si="57"/>
        <v>92.73</v>
      </c>
      <c r="N137" s="162">
        <f t="shared" si="57"/>
        <v>89.92</v>
      </c>
      <c r="O137" s="162">
        <f t="shared" si="57"/>
        <v>89.92</v>
      </c>
      <c r="P137" s="162">
        <f t="shared" si="57"/>
        <v>89.0208</v>
      </c>
      <c r="Q137" s="162">
        <f t="shared" si="57"/>
        <v>88.130592</v>
      </c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</row>
    <row r="138" spans="1:28" s="138" customFormat="1" ht="16.5" customHeight="1">
      <c r="A138" s="12">
        <f t="shared" si="58"/>
        <v>125</v>
      </c>
      <c r="B138" s="111" t="s">
        <v>559</v>
      </c>
      <c r="C138" s="15">
        <v>37020339</v>
      </c>
      <c r="D138" s="162">
        <v>6</v>
      </c>
      <c r="E138" s="162">
        <f>4+4</f>
        <v>8</v>
      </c>
      <c r="F138" s="162">
        <f>2+2</f>
        <v>4</v>
      </c>
      <c r="G138" s="162">
        <f>2+2</f>
        <v>4</v>
      </c>
      <c r="H138" s="162">
        <f>3+2</f>
        <v>5</v>
      </c>
      <c r="I138" s="162">
        <f t="shared" si="56"/>
        <v>4.95</v>
      </c>
      <c r="J138" s="163">
        <f t="shared" si="56"/>
        <v>4.9005</v>
      </c>
      <c r="K138" s="161">
        <f t="shared" si="57"/>
        <v>16.86</v>
      </c>
      <c r="L138" s="162">
        <f t="shared" si="57"/>
        <v>22.48</v>
      </c>
      <c r="M138" s="162">
        <f t="shared" si="57"/>
        <v>11.24</v>
      </c>
      <c r="N138" s="162">
        <f t="shared" si="57"/>
        <v>11.24</v>
      </c>
      <c r="O138" s="162">
        <f t="shared" si="57"/>
        <v>14.05</v>
      </c>
      <c r="P138" s="162">
        <f t="shared" si="57"/>
        <v>13.909500000000001</v>
      </c>
      <c r="Q138" s="162">
        <f t="shared" si="57"/>
        <v>13.770405</v>
      </c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</row>
    <row r="139" spans="1:28" s="138" customFormat="1" ht="16.5" customHeight="1">
      <c r="A139" s="12">
        <f t="shared" si="58"/>
        <v>126</v>
      </c>
      <c r="B139" s="97" t="s">
        <v>555</v>
      </c>
      <c r="C139" s="15" t="s">
        <v>445</v>
      </c>
      <c r="D139" s="162">
        <v>110</v>
      </c>
      <c r="E139" s="162">
        <v>96</v>
      </c>
      <c r="F139" s="162">
        <v>90</v>
      </c>
      <c r="G139" s="162">
        <v>88</v>
      </c>
      <c r="H139" s="162">
        <v>93</v>
      </c>
      <c r="I139" s="162">
        <f t="shared" si="56"/>
        <v>92.07</v>
      </c>
      <c r="J139" s="163">
        <f t="shared" si="56"/>
        <v>91.1493</v>
      </c>
      <c r="K139" s="161">
        <f t="shared" si="57"/>
        <v>309.1</v>
      </c>
      <c r="L139" s="162">
        <f t="shared" si="57"/>
        <v>269.76</v>
      </c>
      <c r="M139" s="162">
        <f t="shared" si="57"/>
        <v>252.9</v>
      </c>
      <c r="N139" s="162">
        <f t="shared" si="57"/>
        <v>247.28</v>
      </c>
      <c r="O139" s="162">
        <f t="shared" si="57"/>
        <v>261.33</v>
      </c>
      <c r="P139" s="162">
        <f t="shared" si="57"/>
        <v>258.7167</v>
      </c>
      <c r="Q139" s="162">
        <f t="shared" si="57"/>
        <v>256.129533</v>
      </c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</row>
    <row r="140" spans="1:28" s="136" customFormat="1" ht="15.75" customHeight="1">
      <c r="A140" s="12">
        <f t="shared" si="58"/>
        <v>127</v>
      </c>
      <c r="B140" s="105" t="s">
        <v>140</v>
      </c>
      <c r="C140" s="15" t="s">
        <v>141</v>
      </c>
      <c r="D140" s="162">
        <v>31</v>
      </c>
      <c r="E140" s="162">
        <v>39</v>
      </c>
      <c r="F140" s="162">
        <v>27</v>
      </c>
      <c r="G140" s="162">
        <v>26</v>
      </c>
      <c r="H140" s="162">
        <v>26</v>
      </c>
      <c r="I140" s="162">
        <f>H140*0.99</f>
        <v>25.74</v>
      </c>
      <c r="J140" s="163">
        <f>I140*0.99</f>
        <v>25.482599999999998</v>
      </c>
      <c r="K140" s="161">
        <f aca="true" t="shared" si="59" ref="K140:Q140">D140*2.81</f>
        <v>87.11</v>
      </c>
      <c r="L140" s="162">
        <f t="shared" si="59"/>
        <v>109.59</v>
      </c>
      <c r="M140" s="162">
        <f t="shared" si="59"/>
        <v>75.87</v>
      </c>
      <c r="N140" s="162">
        <f t="shared" si="59"/>
        <v>73.06</v>
      </c>
      <c r="O140" s="162">
        <f t="shared" si="59"/>
        <v>73.06</v>
      </c>
      <c r="P140" s="162">
        <f t="shared" si="59"/>
        <v>72.32939999999999</v>
      </c>
      <c r="Q140" s="162">
        <f t="shared" si="59"/>
        <v>71.606106</v>
      </c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</row>
    <row r="141" spans="1:28" s="136" customFormat="1" ht="17.25" customHeight="1">
      <c r="A141" s="12">
        <f t="shared" si="58"/>
        <v>128</v>
      </c>
      <c r="B141" s="97" t="s">
        <v>568</v>
      </c>
      <c r="C141" s="15" t="s">
        <v>569</v>
      </c>
      <c r="D141" s="162">
        <v>1</v>
      </c>
      <c r="E141" s="162">
        <v>3</v>
      </c>
      <c r="F141" s="162" t="s">
        <v>556</v>
      </c>
      <c r="G141" s="162">
        <v>2</v>
      </c>
      <c r="H141" s="162">
        <v>2</v>
      </c>
      <c r="I141" s="162">
        <f>H141*0.99</f>
        <v>1.98</v>
      </c>
      <c r="J141" s="163">
        <f>I141*0.99</f>
        <v>1.9602</v>
      </c>
      <c r="K141" s="161">
        <f>D141*2.81</f>
        <v>2.81</v>
      </c>
      <c r="L141" s="162">
        <f>E141*2.81</f>
        <v>8.43</v>
      </c>
      <c r="M141" s="162" t="s">
        <v>556</v>
      </c>
      <c r="N141" s="162">
        <f>G141*2.81</f>
        <v>5.62</v>
      </c>
      <c r="O141" s="162">
        <f>H141*2.81</f>
        <v>5.62</v>
      </c>
      <c r="P141" s="162">
        <f>I141*2.81</f>
        <v>5.5638</v>
      </c>
      <c r="Q141" s="162">
        <f>J141*2.81</f>
        <v>5.508162</v>
      </c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</row>
    <row r="142" spans="1:28" s="136" customFormat="1" ht="17.25" customHeight="1">
      <c r="A142" s="12">
        <f t="shared" si="58"/>
        <v>129</v>
      </c>
      <c r="B142" s="105" t="s">
        <v>927</v>
      </c>
      <c r="C142" s="15" t="s">
        <v>1029</v>
      </c>
      <c r="D142" s="162">
        <v>1</v>
      </c>
      <c r="E142" s="162" t="s">
        <v>556</v>
      </c>
      <c r="F142" s="162" t="s">
        <v>556</v>
      </c>
      <c r="G142" s="162">
        <v>1</v>
      </c>
      <c r="H142" s="162" t="s">
        <v>556</v>
      </c>
      <c r="I142" s="162" t="s">
        <v>556</v>
      </c>
      <c r="J142" s="163" t="s">
        <v>556</v>
      </c>
      <c r="K142" s="161">
        <f>D142*2.81</f>
        <v>2.81</v>
      </c>
      <c r="L142" s="162" t="s">
        <v>556</v>
      </c>
      <c r="M142" s="162" t="s">
        <v>556</v>
      </c>
      <c r="N142" s="162">
        <f>G142*2.81</f>
        <v>2.81</v>
      </c>
      <c r="O142" s="162" t="s">
        <v>556</v>
      </c>
      <c r="P142" s="162" t="s">
        <v>556</v>
      </c>
      <c r="Q142" s="162" t="s">
        <v>556</v>
      </c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</row>
    <row r="143" spans="1:19" ht="18" customHeight="1">
      <c r="A143" s="406" t="s">
        <v>624</v>
      </c>
      <c r="B143" s="406"/>
      <c r="C143" s="406"/>
      <c r="D143" s="406"/>
      <c r="E143" s="406"/>
      <c r="F143" s="406"/>
      <c r="G143" s="406"/>
      <c r="H143" s="406"/>
      <c r="I143" s="406"/>
      <c r="J143" s="406"/>
      <c r="K143" s="406"/>
      <c r="L143" s="406"/>
      <c r="M143" s="406"/>
      <c r="N143" s="406"/>
      <c r="O143" s="406"/>
      <c r="P143" s="406"/>
      <c r="Q143" s="406"/>
      <c r="R143" s="139"/>
      <c r="S143" s="139"/>
    </row>
    <row r="144" spans="1:28" s="136" customFormat="1" ht="17.25" customHeight="1">
      <c r="A144" s="12">
        <f>A142+1</f>
        <v>130</v>
      </c>
      <c r="B144" s="97" t="s">
        <v>1321</v>
      </c>
      <c r="C144" s="15" t="s">
        <v>1323</v>
      </c>
      <c r="D144" s="162">
        <v>4</v>
      </c>
      <c r="E144" s="162">
        <v>6</v>
      </c>
      <c r="F144" s="162">
        <v>4</v>
      </c>
      <c r="G144" s="162">
        <v>2</v>
      </c>
      <c r="H144" s="162">
        <v>4</v>
      </c>
      <c r="I144" s="162">
        <f aca="true" t="shared" si="60" ref="I144:J153">H144*0.99</f>
        <v>3.96</v>
      </c>
      <c r="J144" s="163">
        <f t="shared" si="60"/>
        <v>3.9204</v>
      </c>
      <c r="K144" s="166">
        <f aca="true" t="shared" si="61" ref="K144:Q153">D144*1.83</f>
        <v>7.32</v>
      </c>
      <c r="L144" s="167">
        <f t="shared" si="61"/>
        <v>10.98</v>
      </c>
      <c r="M144" s="167">
        <f t="shared" si="61"/>
        <v>7.32</v>
      </c>
      <c r="N144" s="167">
        <f t="shared" si="61"/>
        <v>3.66</v>
      </c>
      <c r="O144" s="167">
        <f t="shared" si="61"/>
        <v>7.32</v>
      </c>
      <c r="P144" s="167">
        <f t="shared" si="61"/>
        <v>7.2468</v>
      </c>
      <c r="Q144" s="167">
        <f t="shared" si="61"/>
        <v>7.174332</v>
      </c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</row>
    <row r="145" spans="1:28" s="136" customFormat="1" ht="17.25" customHeight="1">
      <c r="A145" s="12">
        <f>A144+1</f>
        <v>131</v>
      </c>
      <c r="B145" s="97" t="s">
        <v>560</v>
      </c>
      <c r="C145" s="15" t="s">
        <v>1319</v>
      </c>
      <c r="D145" s="162">
        <f>162-4+4</f>
        <v>162</v>
      </c>
      <c r="E145" s="162">
        <f>80-3+1-3+4+3</f>
        <v>82</v>
      </c>
      <c r="F145" s="162">
        <f>102-1-3+3+2</f>
        <v>103</v>
      </c>
      <c r="G145" s="162">
        <f>86-2+1-1+3+1</f>
        <v>88</v>
      </c>
      <c r="H145" s="162">
        <f>85-1</f>
        <v>84</v>
      </c>
      <c r="I145" s="162">
        <f t="shared" si="60"/>
        <v>83.16</v>
      </c>
      <c r="J145" s="163">
        <f t="shared" si="60"/>
        <v>82.3284</v>
      </c>
      <c r="K145" s="166">
        <f t="shared" si="61"/>
        <v>296.46000000000004</v>
      </c>
      <c r="L145" s="167">
        <f t="shared" si="61"/>
        <v>150.06</v>
      </c>
      <c r="M145" s="167">
        <f t="shared" si="61"/>
        <v>188.49</v>
      </c>
      <c r="N145" s="167">
        <f t="shared" si="61"/>
        <v>161.04000000000002</v>
      </c>
      <c r="O145" s="167">
        <f t="shared" si="61"/>
        <v>153.72</v>
      </c>
      <c r="P145" s="167">
        <f t="shared" si="61"/>
        <v>152.1828</v>
      </c>
      <c r="Q145" s="167">
        <f t="shared" si="61"/>
        <v>150.66097200000002</v>
      </c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</row>
    <row r="146" spans="1:28" s="136" customFormat="1" ht="30.75" customHeight="1">
      <c r="A146" s="12">
        <f aca="true" t="shared" si="62" ref="A146:A153">A145+1</f>
        <v>132</v>
      </c>
      <c r="B146" s="97" t="s">
        <v>562</v>
      </c>
      <c r="C146" s="15" t="s">
        <v>563</v>
      </c>
      <c r="D146" s="162">
        <f>8+2</f>
        <v>10</v>
      </c>
      <c r="E146" s="162">
        <f>5+1+4+4+2+2</f>
        <v>18</v>
      </c>
      <c r="F146" s="162">
        <f>6+2+2+1+2</f>
        <v>13</v>
      </c>
      <c r="G146" s="162">
        <f>9+4+4+2+2</f>
        <v>21</v>
      </c>
      <c r="H146" s="162">
        <f>8+2+2+1+2</f>
        <v>15</v>
      </c>
      <c r="I146" s="162">
        <f t="shared" si="60"/>
        <v>14.85</v>
      </c>
      <c r="J146" s="163">
        <f t="shared" si="60"/>
        <v>14.7015</v>
      </c>
      <c r="K146" s="166">
        <f t="shared" si="61"/>
        <v>18.3</v>
      </c>
      <c r="L146" s="167">
        <f t="shared" si="61"/>
        <v>32.94</v>
      </c>
      <c r="M146" s="167">
        <f t="shared" si="61"/>
        <v>23.79</v>
      </c>
      <c r="N146" s="167">
        <f t="shared" si="61"/>
        <v>38.43</v>
      </c>
      <c r="O146" s="167">
        <f t="shared" si="61"/>
        <v>27.450000000000003</v>
      </c>
      <c r="P146" s="167">
        <f t="shared" si="61"/>
        <v>27.1755</v>
      </c>
      <c r="Q146" s="167">
        <f t="shared" si="61"/>
        <v>26.903745</v>
      </c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</row>
    <row r="147" spans="1:28" s="138" customFormat="1" ht="17.25" customHeight="1">
      <c r="A147" s="12">
        <f t="shared" si="62"/>
        <v>133</v>
      </c>
      <c r="B147" s="97" t="s">
        <v>1038</v>
      </c>
      <c r="C147" s="15" t="s">
        <v>1039</v>
      </c>
      <c r="D147" s="162">
        <v>2</v>
      </c>
      <c r="E147" s="162">
        <f>1+2</f>
        <v>3</v>
      </c>
      <c r="F147" s="162">
        <f>3+1</f>
        <v>4</v>
      </c>
      <c r="G147" s="162">
        <f>4+2</f>
        <v>6</v>
      </c>
      <c r="H147" s="162">
        <f>2+1</f>
        <v>3</v>
      </c>
      <c r="I147" s="162">
        <f t="shared" si="60"/>
        <v>2.9699999999999998</v>
      </c>
      <c r="J147" s="163">
        <f t="shared" si="60"/>
        <v>2.9402999999999997</v>
      </c>
      <c r="K147" s="166">
        <f t="shared" si="61"/>
        <v>3.66</v>
      </c>
      <c r="L147" s="167">
        <f t="shared" si="61"/>
        <v>5.49</v>
      </c>
      <c r="M147" s="167">
        <f t="shared" si="61"/>
        <v>7.32</v>
      </c>
      <c r="N147" s="167">
        <f t="shared" si="61"/>
        <v>10.98</v>
      </c>
      <c r="O147" s="167">
        <f t="shared" si="61"/>
        <v>5.49</v>
      </c>
      <c r="P147" s="167">
        <f t="shared" si="61"/>
        <v>5.435099999999999</v>
      </c>
      <c r="Q147" s="167">
        <f t="shared" si="61"/>
        <v>5.380749</v>
      </c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</row>
    <row r="148" spans="1:28" s="138" customFormat="1" ht="17.25" customHeight="1">
      <c r="A148" s="12">
        <f t="shared" si="62"/>
        <v>134</v>
      </c>
      <c r="B148" s="97" t="s">
        <v>98</v>
      </c>
      <c r="C148" s="15" t="s">
        <v>1087</v>
      </c>
      <c r="D148" s="162">
        <v>1</v>
      </c>
      <c r="E148" s="162" t="s">
        <v>998</v>
      </c>
      <c r="F148" s="162" t="s">
        <v>998</v>
      </c>
      <c r="G148" s="162" t="s">
        <v>998</v>
      </c>
      <c r="H148" s="162" t="s">
        <v>998</v>
      </c>
      <c r="I148" s="162" t="s">
        <v>998</v>
      </c>
      <c r="J148" s="163" t="s">
        <v>998</v>
      </c>
      <c r="K148" s="166">
        <f t="shared" si="61"/>
        <v>1.83</v>
      </c>
      <c r="L148" s="162" t="s">
        <v>998</v>
      </c>
      <c r="M148" s="162" t="s">
        <v>998</v>
      </c>
      <c r="N148" s="162" t="s">
        <v>998</v>
      </c>
      <c r="O148" s="162" t="s">
        <v>998</v>
      </c>
      <c r="P148" s="162" t="s">
        <v>998</v>
      </c>
      <c r="Q148" s="162" t="s">
        <v>998</v>
      </c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</row>
    <row r="149" spans="1:28" s="138" customFormat="1" ht="17.25" customHeight="1">
      <c r="A149" s="12">
        <f t="shared" si="62"/>
        <v>135</v>
      </c>
      <c r="B149" s="97" t="s">
        <v>1136</v>
      </c>
      <c r="C149" s="15" t="s">
        <v>1135</v>
      </c>
      <c r="D149" s="162" t="s">
        <v>998</v>
      </c>
      <c r="E149" s="162">
        <v>1</v>
      </c>
      <c r="F149" s="162">
        <v>1</v>
      </c>
      <c r="G149" s="162" t="s">
        <v>998</v>
      </c>
      <c r="H149" s="162" t="s">
        <v>998</v>
      </c>
      <c r="I149" s="162" t="s">
        <v>998</v>
      </c>
      <c r="J149" s="163" t="s">
        <v>998</v>
      </c>
      <c r="K149" s="166" t="s">
        <v>998</v>
      </c>
      <c r="L149" s="166">
        <f>E149*1.83</f>
        <v>1.83</v>
      </c>
      <c r="M149" s="166">
        <f>F149*1.83</f>
        <v>1.83</v>
      </c>
      <c r="N149" s="162" t="s">
        <v>998</v>
      </c>
      <c r="O149" s="162" t="s">
        <v>998</v>
      </c>
      <c r="P149" s="162" t="s">
        <v>998</v>
      </c>
      <c r="Q149" s="162" t="s">
        <v>998</v>
      </c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</row>
    <row r="150" spans="1:28" s="138" customFormat="1" ht="18.75" customHeight="1">
      <c r="A150" s="12">
        <f t="shared" si="62"/>
        <v>136</v>
      </c>
      <c r="B150" s="97" t="s">
        <v>131</v>
      </c>
      <c r="C150" s="15" t="s">
        <v>132</v>
      </c>
      <c r="D150" s="162">
        <v>10</v>
      </c>
      <c r="E150" s="162">
        <v>10</v>
      </c>
      <c r="F150" s="162">
        <v>10</v>
      </c>
      <c r="G150" s="162">
        <v>10</v>
      </c>
      <c r="H150" s="162">
        <v>10</v>
      </c>
      <c r="I150" s="162">
        <f t="shared" si="60"/>
        <v>9.9</v>
      </c>
      <c r="J150" s="163">
        <f t="shared" si="60"/>
        <v>9.801</v>
      </c>
      <c r="K150" s="166">
        <f t="shared" si="61"/>
        <v>18.3</v>
      </c>
      <c r="L150" s="167">
        <f t="shared" si="61"/>
        <v>18.3</v>
      </c>
      <c r="M150" s="167">
        <f t="shared" si="61"/>
        <v>18.3</v>
      </c>
      <c r="N150" s="167">
        <f t="shared" si="61"/>
        <v>18.3</v>
      </c>
      <c r="O150" s="167">
        <f t="shared" si="61"/>
        <v>18.3</v>
      </c>
      <c r="P150" s="167">
        <f t="shared" si="61"/>
        <v>18.117</v>
      </c>
      <c r="Q150" s="167">
        <f t="shared" si="61"/>
        <v>17.93583</v>
      </c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</row>
    <row r="151" spans="1:28" s="138" customFormat="1" ht="31.5" customHeight="1">
      <c r="A151" s="12">
        <f t="shared" si="62"/>
        <v>137</v>
      </c>
      <c r="B151" s="97" t="s">
        <v>90</v>
      </c>
      <c r="C151" s="15" t="s">
        <v>91</v>
      </c>
      <c r="D151" s="162">
        <v>11</v>
      </c>
      <c r="E151" s="162">
        <v>11</v>
      </c>
      <c r="F151" s="162">
        <v>11</v>
      </c>
      <c r="G151" s="162">
        <v>11</v>
      </c>
      <c r="H151" s="162">
        <v>11</v>
      </c>
      <c r="I151" s="162">
        <f t="shared" si="60"/>
        <v>10.89</v>
      </c>
      <c r="J151" s="163">
        <f t="shared" si="60"/>
        <v>10.7811</v>
      </c>
      <c r="K151" s="166">
        <f t="shared" si="61"/>
        <v>20.130000000000003</v>
      </c>
      <c r="L151" s="167">
        <f t="shared" si="61"/>
        <v>20.130000000000003</v>
      </c>
      <c r="M151" s="167">
        <f t="shared" si="61"/>
        <v>20.130000000000003</v>
      </c>
      <c r="N151" s="167">
        <f t="shared" si="61"/>
        <v>20.130000000000003</v>
      </c>
      <c r="O151" s="167">
        <f t="shared" si="61"/>
        <v>20.130000000000003</v>
      </c>
      <c r="P151" s="167">
        <f t="shared" si="61"/>
        <v>19.928700000000003</v>
      </c>
      <c r="Q151" s="167">
        <f t="shared" si="61"/>
        <v>19.729413</v>
      </c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</row>
    <row r="152" spans="1:28" s="138" customFormat="1" ht="17.25" customHeight="1">
      <c r="A152" s="12">
        <f t="shared" si="62"/>
        <v>138</v>
      </c>
      <c r="B152" s="97" t="s">
        <v>43</v>
      </c>
      <c r="C152" s="15" t="s">
        <v>42</v>
      </c>
      <c r="D152" s="162">
        <v>1</v>
      </c>
      <c r="E152" s="162">
        <v>1</v>
      </c>
      <c r="F152" s="162">
        <v>1</v>
      </c>
      <c r="G152" s="162">
        <v>1</v>
      </c>
      <c r="H152" s="162">
        <v>1</v>
      </c>
      <c r="I152" s="162">
        <f t="shared" si="60"/>
        <v>0.99</v>
      </c>
      <c r="J152" s="163">
        <f t="shared" si="60"/>
        <v>0.9801</v>
      </c>
      <c r="K152" s="166">
        <f t="shared" si="61"/>
        <v>1.83</v>
      </c>
      <c r="L152" s="167">
        <f t="shared" si="61"/>
        <v>1.83</v>
      </c>
      <c r="M152" s="167">
        <f t="shared" si="61"/>
        <v>1.83</v>
      </c>
      <c r="N152" s="167">
        <f t="shared" si="61"/>
        <v>1.83</v>
      </c>
      <c r="O152" s="167">
        <f t="shared" si="61"/>
        <v>1.83</v>
      </c>
      <c r="P152" s="167">
        <f t="shared" si="61"/>
        <v>1.8117</v>
      </c>
      <c r="Q152" s="167">
        <f t="shared" si="61"/>
        <v>1.793583</v>
      </c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</row>
    <row r="153" spans="1:51" s="138" customFormat="1" ht="19.5" customHeight="1">
      <c r="A153" s="12">
        <f t="shared" si="62"/>
        <v>139</v>
      </c>
      <c r="B153" s="97" t="s">
        <v>31</v>
      </c>
      <c r="C153" s="15" t="s">
        <v>32</v>
      </c>
      <c r="D153" s="162">
        <v>40</v>
      </c>
      <c r="E153" s="162">
        <v>38</v>
      </c>
      <c r="F153" s="162">
        <v>35</v>
      </c>
      <c r="G153" s="162">
        <v>35</v>
      </c>
      <c r="H153" s="162">
        <v>40</v>
      </c>
      <c r="I153" s="162">
        <f t="shared" si="60"/>
        <v>39.6</v>
      </c>
      <c r="J153" s="163">
        <f t="shared" si="60"/>
        <v>39.204</v>
      </c>
      <c r="K153" s="166">
        <f t="shared" si="61"/>
        <v>73.2</v>
      </c>
      <c r="L153" s="167">
        <f t="shared" si="61"/>
        <v>69.54</v>
      </c>
      <c r="M153" s="167">
        <f t="shared" si="61"/>
        <v>64.05</v>
      </c>
      <c r="N153" s="167">
        <f t="shared" si="61"/>
        <v>64.05</v>
      </c>
      <c r="O153" s="167">
        <f t="shared" si="61"/>
        <v>73.2</v>
      </c>
      <c r="P153" s="167">
        <f t="shared" si="61"/>
        <v>72.468</v>
      </c>
      <c r="Q153" s="167">
        <f t="shared" si="61"/>
        <v>71.74332</v>
      </c>
      <c r="R153" s="39"/>
      <c r="S153" s="39"/>
      <c r="T153" s="140"/>
      <c r="U153" s="140"/>
      <c r="V153" s="140"/>
      <c r="W153" s="140"/>
      <c r="X153" s="140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</row>
    <row r="154" spans="1:51" s="138" customFormat="1" ht="9.75" customHeight="1">
      <c r="A154" s="36"/>
      <c r="B154" s="110"/>
      <c r="C154" s="67"/>
      <c r="D154" s="168"/>
      <c r="E154" s="168"/>
      <c r="F154" s="168"/>
      <c r="G154" s="168"/>
      <c r="H154" s="168"/>
      <c r="I154" s="168"/>
      <c r="J154" s="168"/>
      <c r="K154" s="169"/>
      <c r="L154" s="169"/>
      <c r="M154" s="169"/>
      <c r="N154" s="169"/>
      <c r="O154" s="169"/>
      <c r="P154" s="169"/>
      <c r="Q154" s="169"/>
      <c r="R154" s="39"/>
      <c r="S154" s="39"/>
      <c r="T154" s="120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</row>
    <row r="155" spans="1:51" s="138" customFormat="1" ht="38.25" customHeight="1">
      <c r="A155" s="417" t="s">
        <v>21</v>
      </c>
      <c r="B155" s="417"/>
      <c r="C155" s="417"/>
      <c r="D155" s="170">
        <f aca="true" t="shared" si="63" ref="D155:Q155">SUM(D9:D37,D39:D56,D58:D59,D61:D107,D109:D130,D132:D142,D144:D153)</f>
        <v>2876</v>
      </c>
      <c r="E155" s="170">
        <f t="shared" si="63"/>
        <v>2733</v>
      </c>
      <c r="F155" s="170">
        <f t="shared" si="63"/>
        <v>2363</v>
      </c>
      <c r="G155" s="170">
        <f t="shared" si="63"/>
        <v>2346</v>
      </c>
      <c r="H155" s="170">
        <f t="shared" si="63"/>
        <v>2289</v>
      </c>
      <c r="I155" s="170">
        <f t="shared" si="63"/>
        <v>2265.1200000000003</v>
      </c>
      <c r="J155" s="170">
        <f t="shared" si="63"/>
        <v>2242.4687999999987</v>
      </c>
      <c r="K155" s="170">
        <f t="shared" si="63"/>
        <v>5047.5</v>
      </c>
      <c r="L155" s="170">
        <f t="shared" si="63"/>
        <v>4808.509999999998</v>
      </c>
      <c r="M155" s="170">
        <f t="shared" si="63"/>
        <v>4267.679999999999</v>
      </c>
      <c r="N155" s="170">
        <f t="shared" si="63"/>
        <v>4243.559999999999</v>
      </c>
      <c r="O155" s="170">
        <f t="shared" si="63"/>
        <v>4170.339999999998</v>
      </c>
      <c r="P155" s="170">
        <f t="shared" si="63"/>
        <v>4128.636600000001</v>
      </c>
      <c r="Q155" s="170">
        <f t="shared" si="63"/>
        <v>4087.3502340000027</v>
      </c>
      <c r="R155" s="39"/>
      <c r="S155" s="39"/>
      <c r="T155" s="120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</row>
    <row r="156" spans="1:51" s="138" customFormat="1" ht="13.5" customHeight="1">
      <c r="A156" s="36"/>
      <c r="B156" s="110"/>
      <c r="C156" s="67"/>
      <c r="D156" s="168"/>
      <c r="E156" s="168"/>
      <c r="F156" s="168"/>
      <c r="G156" s="168"/>
      <c r="H156" s="168"/>
      <c r="I156" s="168"/>
      <c r="J156" s="168"/>
      <c r="K156" s="169"/>
      <c r="L156" s="169"/>
      <c r="M156" s="169"/>
      <c r="N156" s="169"/>
      <c r="O156" s="169"/>
      <c r="P156" s="169"/>
      <c r="Q156" s="169"/>
      <c r="R156" s="39"/>
      <c r="S156" s="39"/>
      <c r="T156" s="120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</row>
    <row r="157" spans="1:191" s="10" customFormat="1" ht="30" customHeight="1">
      <c r="A157" s="409" t="s">
        <v>670</v>
      </c>
      <c r="B157" s="409"/>
      <c r="C157" s="409"/>
      <c r="D157" s="409"/>
      <c r="E157" s="409"/>
      <c r="F157" s="409"/>
      <c r="G157" s="409"/>
      <c r="H157" s="409"/>
      <c r="I157" s="409"/>
      <c r="J157" s="409"/>
      <c r="K157" s="409"/>
      <c r="L157" s="409"/>
      <c r="M157" s="409"/>
      <c r="N157" s="409"/>
      <c r="O157" s="409"/>
      <c r="P157" s="409"/>
      <c r="Q157" s="409"/>
      <c r="R157" s="68"/>
      <c r="S157" s="68"/>
      <c r="T157" s="32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36"/>
      <c r="FD157" s="36"/>
      <c r="FE157" s="36"/>
      <c r="FF157" s="36"/>
      <c r="FG157" s="36"/>
      <c r="FH157" s="36"/>
      <c r="FI157" s="36"/>
      <c r="FJ157" s="36"/>
      <c r="FK157" s="36"/>
      <c r="FL157" s="36"/>
      <c r="FM157" s="36"/>
      <c r="FN157" s="36"/>
      <c r="FO157" s="36"/>
      <c r="FP157" s="36"/>
      <c r="FQ157" s="36"/>
      <c r="FR157" s="36"/>
      <c r="FS157" s="36"/>
      <c r="FT157" s="36"/>
      <c r="FU157" s="36"/>
      <c r="FV157" s="36"/>
      <c r="FW157" s="36"/>
      <c r="FX157" s="36"/>
      <c r="FY157" s="36"/>
      <c r="FZ157" s="36"/>
      <c r="GA157" s="36"/>
      <c r="GB157" s="36"/>
      <c r="GC157" s="36"/>
      <c r="GD157" s="36"/>
      <c r="GE157" s="36"/>
      <c r="GF157" s="36"/>
      <c r="GG157" s="36"/>
      <c r="GH157" s="36"/>
      <c r="GI157" s="36"/>
    </row>
    <row r="158" spans="1:19" ht="16.5" customHeight="1">
      <c r="A158" s="406" t="s">
        <v>628</v>
      </c>
      <c r="B158" s="406"/>
      <c r="C158" s="406"/>
      <c r="D158" s="406"/>
      <c r="E158" s="406"/>
      <c r="F158" s="406"/>
      <c r="G158" s="406"/>
      <c r="H158" s="406"/>
      <c r="I158" s="406"/>
      <c r="J158" s="406"/>
      <c r="K158" s="406"/>
      <c r="L158" s="406"/>
      <c r="M158" s="406"/>
      <c r="N158" s="406"/>
      <c r="O158" s="406"/>
      <c r="P158" s="406"/>
      <c r="Q158" s="406"/>
      <c r="R158" s="139"/>
      <c r="S158" s="139"/>
    </row>
    <row r="159" spans="1:19" ht="16.5" customHeight="1">
      <c r="A159" s="12">
        <v>1</v>
      </c>
      <c r="B159" s="97" t="s">
        <v>1355</v>
      </c>
      <c r="C159" s="15">
        <v>11020151</v>
      </c>
      <c r="D159" s="162" t="s">
        <v>998</v>
      </c>
      <c r="E159" s="162">
        <v>1</v>
      </c>
      <c r="F159" s="162">
        <v>1</v>
      </c>
      <c r="G159" s="162">
        <v>1</v>
      </c>
      <c r="H159" s="162" t="s">
        <v>998</v>
      </c>
      <c r="I159" s="162" t="s">
        <v>998</v>
      </c>
      <c r="J159" s="197" t="s">
        <v>998</v>
      </c>
      <c r="K159" s="330" t="s">
        <v>998</v>
      </c>
      <c r="L159" s="162">
        <f>E159*1.28</f>
        <v>1.28</v>
      </c>
      <c r="M159" s="162">
        <f>F159*1.28</f>
        <v>1.28</v>
      </c>
      <c r="N159" s="162">
        <f>G159*1.28</f>
        <v>1.28</v>
      </c>
      <c r="O159" s="162" t="s">
        <v>998</v>
      </c>
      <c r="P159" s="162" t="s">
        <v>998</v>
      </c>
      <c r="Q159" s="162" t="s">
        <v>998</v>
      </c>
      <c r="R159" s="127"/>
      <c r="S159" s="127"/>
    </row>
    <row r="160" spans="1:28" s="138" customFormat="1" ht="16.5" customHeight="1">
      <c r="A160" s="12">
        <f>A159+1</f>
        <v>2</v>
      </c>
      <c r="B160" s="97" t="s">
        <v>744</v>
      </c>
      <c r="C160" s="15" t="s">
        <v>745</v>
      </c>
      <c r="D160" s="162">
        <v>2</v>
      </c>
      <c r="E160" s="162" t="s">
        <v>556</v>
      </c>
      <c r="F160" s="162">
        <v>2</v>
      </c>
      <c r="G160" s="162">
        <v>1</v>
      </c>
      <c r="H160" s="162">
        <v>1</v>
      </c>
      <c r="I160" s="162">
        <f>H160*0.99</f>
        <v>0.99</v>
      </c>
      <c r="J160" s="163">
        <f aca="true" t="shared" si="64" ref="I160:J162">I160*0.99</f>
        <v>0.9801</v>
      </c>
      <c r="K160" s="161">
        <f>D160*1.28</f>
        <v>2.56</v>
      </c>
      <c r="L160" s="162" t="s">
        <v>556</v>
      </c>
      <c r="M160" s="162">
        <f>F160*1.28</f>
        <v>2.56</v>
      </c>
      <c r="N160" s="162">
        <f aca="true" t="shared" si="65" ref="M160:Q162">G160*1.28</f>
        <v>1.28</v>
      </c>
      <c r="O160" s="162">
        <f t="shared" si="65"/>
        <v>1.28</v>
      </c>
      <c r="P160" s="162">
        <f t="shared" si="65"/>
        <v>1.2672</v>
      </c>
      <c r="Q160" s="162">
        <f t="shared" si="65"/>
        <v>1.254528</v>
      </c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</row>
    <row r="161" spans="1:28" s="138" customFormat="1" ht="16.5" customHeight="1">
      <c r="A161" s="12">
        <f aca="true" t="shared" si="66" ref="A161:A167">A160+1</f>
        <v>3</v>
      </c>
      <c r="B161" s="97" t="s">
        <v>65</v>
      </c>
      <c r="C161" s="15" t="s">
        <v>66</v>
      </c>
      <c r="D161" s="162">
        <v>8</v>
      </c>
      <c r="E161" s="162">
        <v>11</v>
      </c>
      <c r="F161" s="162">
        <v>9</v>
      </c>
      <c r="G161" s="162">
        <v>11</v>
      </c>
      <c r="H161" s="162">
        <v>12</v>
      </c>
      <c r="I161" s="162">
        <f t="shared" si="64"/>
        <v>11.879999999999999</v>
      </c>
      <c r="J161" s="163">
        <f t="shared" si="64"/>
        <v>11.761199999999999</v>
      </c>
      <c r="K161" s="161">
        <f>D161*1.28</f>
        <v>10.24</v>
      </c>
      <c r="L161" s="162">
        <f>E161*1.28</f>
        <v>14.08</v>
      </c>
      <c r="M161" s="162">
        <f t="shared" si="65"/>
        <v>11.52</v>
      </c>
      <c r="N161" s="162">
        <f t="shared" si="65"/>
        <v>14.08</v>
      </c>
      <c r="O161" s="162">
        <f t="shared" si="65"/>
        <v>15.36</v>
      </c>
      <c r="P161" s="162">
        <f t="shared" si="65"/>
        <v>15.206399999999999</v>
      </c>
      <c r="Q161" s="162">
        <f t="shared" si="65"/>
        <v>15.054336</v>
      </c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</row>
    <row r="162" spans="1:28" s="138" customFormat="1" ht="15" customHeight="1">
      <c r="A162" s="12">
        <f t="shared" si="66"/>
        <v>4</v>
      </c>
      <c r="B162" s="97" t="s">
        <v>876</v>
      </c>
      <c r="C162" s="15" t="s">
        <v>304</v>
      </c>
      <c r="D162" s="162">
        <v>2</v>
      </c>
      <c r="E162" s="162">
        <f>2+1</f>
        <v>3</v>
      </c>
      <c r="F162" s="162">
        <v>2</v>
      </c>
      <c r="G162" s="162">
        <v>2</v>
      </c>
      <c r="H162" s="162">
        <v>2</v>
      </c>
      <c r="I162" s="162">
        <f t="shared" si="64"/>
        <v>1.98</v>
      </c>
      <c r="J162" s="163">
        <f t="shared" si="64"/>
        <v>1.9602</v>
      </c>
      <c r="K162" s="161">
        <f>D162*1.28</f>
        <v>2.56</v>
      </c>
      <c r="L162" s="162">
        <f>E162*1.28</f>
        <v>3.84</v>
      </c>
      <c r="M162" s="162">
        <f t="shared" si="65"/>
        <v>2.56</v>
      </c>
      <c r="N162" s="162">
        <f t="shared" si="65"/>
        <v>2.56</v>
      </c>
      <c r="O162" s="162">
        <f t="shared" si="65"/>
        <v>2.56</v>
      </c>
      <c r="P162" s="162">
        <f t="shared" si="65"/>
        <v>2.5344</v>
      </c>
      <c r="Q162" s="162">
        <f t="shared" si="65"/>
        <v>2.509056</v>
      </c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</row>
    <row r="163" spans="1:28" s="138" customFormat="1" ht="16.5" customHeight="1">
      <c r="A163" s="12">
        <f t="shared" si="66"/>
        <v>5</v>
      </c>
      <c r="B163" s="97" t="s">
        <v>257</v>
      </c>
      <c r="C163" s="15" t="s">
        <v>258</v>
      </c>
      <c r="D163" s="162" t="s">
        <v>556</v>
      </c>
      <c r="E163" s="162">
        <v>1</v>
      </c>
      <c r="F163" s="162">
        <v>1</v>
      </c>
      <c r="G163" s="162">
        <v>2</v>
      </c>
      <c r="H163" s="162" t="s">
        <v>556</v>
      </c>
      <c r="I163" s="162" t="s">
        <v>556</v>
      </c>
      <c r="J163" s="163" t="s">
        <v>556</v>
      </c>
      <c r="K163" s="161" t="s">
        <v>556</v>
      </c>
      <c r="L163" s="162">
        <f>E163*1.28</f>
        <v>1.28</v>
      </c>
      <c r="M163" s="162">
        <f>F163*1.28</f>
        <v>1.28</v>
      </c>
      <c r="N163" s="162">
        <f>G163*1.28</f>
        <v>2.56</v>
      </c>
      <c r="O163" s="162" t="s">
        <v>556</v>
      </c>
      <c r="P163" s="162" t="s">
        <v>556</v>
      </c>
      <c r="Q163" s="162" t="s">
        <v>556</v>
      </c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</row>
    <row r="164" spans="1:28" s="138" customFormat="1" ht="15.75" customHeight="1">
      <c r="A164" s="12">
        <f t="shared" si="66"/>
        <v>6</v>
      </c>
      <c r="B164" s="97" t="s">
        <v>742</v>
      </c>
      <c r="C164" s="15" t="s">
        <v>743</v>
      </c>
      <c r="D164" s="162">
        <f>5+11</f>
        <v>16</v>
      </c>
      <c r="E164" s="162">
        <f>2+10</f>
        <v>12</v>
      </c>
      <c r="F164" s="162">
        <f>2+4</f>
        <v>6</v>
      </c>
      <c r="G164" s="162">
        <f>1+4+1</f>
        <v>6</v>
      </c>
      <c r="H164" s="162">
        <f>1+4</f>
        <v>5</v>
      </c>
      <c r="I164" s="162">
        <f>H164*0.99</f>
        <v>4.95</v>
      </c>
      <c r="J164" s="163">
        <f>I164*0.99</f>
        <v>4.9005</v>
      </c>
      <c r="K164" s="161">
        <f>D164*1.28</f>
        <v>20.48</v>
      </c>
      <c r="L164" s="162">
        <f>E164*1.28</f>
        <v>15.36</v>
      </c>
      <c r="M164" s="162">
        <f>F164*1.28</f>
        <v>7.68</v>
      </c>
      <c r="N164" s="162">
        <f>G164*1.28</f>
        <v>7.68</v>
      </c>
      <c r="O164" s="162">
        <f>H164*1.28</f>
        <v>6.4</v>
      </c>
      <c r="P164" s="162">
        <f>I164*1.28</f>
        <v>6.336</v>
      </c>
      <c r="Q164" s="162">
        <f>J164*1.28</f>
        <v>6.27264</v>
      </c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</row>
    <row r="165" spans="1:28" s="138" customFormat="1" ht="15.75" customHeight="1">
      <c r="A165" s="12">
        <f t="shared" si="66"/>
        <v>7</v>
      </c>
      <c r="B165" s="97" t="s">
        <v>769</v>
      </c>
      <c r="C165" s="15" t="s">
        <v>770</v>
      </c>
      <c r="D165" s="162">
        <v>1</v>
      </c>
      <c r="E165" s="162" t="s">
        <v>556</v>
      </c>
      <c r="F165" s="162" t="s">
        <v>556</v>
      </c>
      <c r="G165" s="162" t="s">
        <v>556</v>
      </c>
      <c r="H165" s="162" t="s">
        <v>556</v>
      </c>
      <c r="I165" s="162" t="s">
        <v>556</v>
      </c>
      <c r="J165" s="163" t="s">
        <v>556</v>
      </c>
      <c r="K165" s="161">
        <f>D165*1.28</f>
        <v>1.28</v>
      </c>
      <c r="L165" s="162" t="s">
        <v>556</v>
      </c>
      <c r="M165" s="162" t="s">
        <v>556</v>
      </c>
      <c r="N165" s="162" t="s">
        <v>556</v>
      </c>
      <c r="O165" s="162" t="s">
        <v>556</v>
      </c>
      <c r="P165" s="162" t="s">
        <v>556</v>
      </c>
      <c r="Q165" s="162" t="s">
        <v>556</v>
      </c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</row>
    <row r="166" spans="1:28" s="138" customFormat="1" ht="15.75" customHeight="1">
      <c r="A166" s="12">
        <f t="shared" si="66"/>
        <v>8</v>
      </c>
      <c r="B166" s="97" t="s">
        <v>640</v>
      </c>
      <c r="C166" s="15" t="s">
        <v>641</v>
      </c>
      <c r="D166" s="162">
        <v>1</v>
      </c>
      <c r="E166" s="162" t="s">
        <v>556</v>
      </c>
      <c r="F166" s="162" t="s">
        <v>556</v>
      </c>
      <c r="G166" s="162">
        <v>1</v>
      </c>
      <c r="H166" s="162">
        <v>1</v>
      </c>
      <c r="I166" s="162">
        <f>H166*0.99</f>
        <v>0.99</v>
      </c>
      <c r="J166" s="163">
        <f>I166*0.99</f>
        <v>0.9801</v>
      </c>
      <c r="K166" s="161">
        <f>D166*1.28</f>
        <v>1.28</v>
      </c>
      <c r="L166" s="162" t="s">
        <v>556</v>
      </c>
      <c r="M166" s="162" t="s">
        <v>556</v>
      </c>
      <c r="N166" s="162">
        <f aca="true" t="shared" si="67" ref="N166:Q167">G166*1.28</f>
        <v>1.28</v>
      </c>
      <c r="O166" s="162">
        <f t="shared" si="67"/>
        <v>1.28</v>
      </c>
      <c r="P166" s="162">
        <f t="shared" si="67"/>
        <v>1.2672</v>
      </c>
      <c r="Q166" s="162">
        <f t="shared" si="67"/>
        <v>1.254528</v>
      </c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</row>
    <row r="167" spans="1:28" s="138" customFormat="1" ht="15.75" customHeight="1">
      <c r="A167" s="12">
        <f t="shared" si="66"/>
        <v>9</v>
      </c>
      <c r="B167" s="97" t="s">
        <v>1054</v>
      </c>
      <c r="C167" s="15" t="s">
        <v>1055</v>
      </c>
      <c r="D167" s="162">
        <f>27-20+10</f>
        <v>17</v>
      </c>
      <c r="E167" s="162">
        <f>26+2-22+8</f>
        <v>14</v>
      </c>
      <c r="F167" s="162">
        <f>1+3</f>
        <v>4</v>
      </c>
      <c r="G167" s="162">
        <f>2+3</f>
        <v>5</v>
      </c>
      <c r="H167" s="162">
        <f>2+3</f>
        <v>5</v>
      </c>
      <c r="I167" s="162">
        <f>H167*0.99</f>
        <v>4.95</v>
      </c>
      <c r="J167" s="163">
        <f>I167*0.99</f>
        <v>4.9005</v>
      </c>
      <c r="K167" s="161">
        <f>D167*1.28</f>
        <v>21.76</v>
      </c>
      <c r="L167" s="162">
        <f>E167*1.28</f>
        <v>17.92</v>
      </c>
      <c r="M167" s="162">
        <f>F167*1.28</f>
        <v>5.12</v>
      </c>
      <c r="N167" s="162">
        <f t="shared" si="67"/>
        <v>6.4</v>
      </c>
      <c r="O167" s="162">
        <f t="shared" si="67"/>
        <v>6.4</v>
      </c>
      <c r="P167" s="162">
        <f t="shared" si="67"/>
        <v>6.336</v>
      </c>
      <c r="Q167" s="162">
        <f t="shared" si="67"/>
        <v>6.27264</v>
      </c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</row>
    <row r="168" spans="1:19" ht="20.25" customHeight="1">
      <c r="A168" s="406" t="s">
        <v>627</v>
      </c>
      <c r="B168" s="406"/>
      <c r="C168" s="406"/>
      <c r="D168" s="406"/>
      <c r="E168" s="406"/>
      <c r="F168" s="406"/>
      <c r="G168" s="406"/>
      <c r="H168" s="406"/>
      <c r="I168" s="406"/>
      <c r="J168" s="406"/>
      <c r="K168" s="406"/>
      <c r="L168" s="406"/>
      <c r="M168" s="406"/>
      <c r="N168" s="406"/>
      <c r="O168" s="406"/>
      <c r="P168" s="406"/>
      <c r="Q168" s="406"/>
      <c r="R168" s="139"/>
      <c r="S168" s="139"/>
    </row>
    <row r="169" spans="1:28" s="138" customFormat="1" ht="17.25" customHeight="1">
      <c r="A169" s="12">
        <f>A167+1</f>
        <v>10</v>
      </c>
      <c r="B169" s="97" t="s">
        <v>1290</v>
      </c>
      <c r="C169" s="15" t="s">
        <v>1289</v>
      </c>
      <c r="D169" s="162">
        <v>47</v>
      </c>
      <c r="E169" s="162">
        <v>50</v>
      </c>
      <c r="F169" s="162">
        <v>54</v>
      </c>
      <c r="G169" s="162">
        <v>57</v>
      </c>
      <c r="H169" s="162">
        <v>57</v>
      </c>
      <c r="I169" s="162">
        <f>H169*0.99</f>
        <v>56.43</v>
      </c>
      <c r="J169" s="163">
        <f>I169*0.99</f>
        <v>55.8657</v>
      </c>
      <c r="K169" s="165">
        <f aca="true" t="shared" si="68" ref="K169:Q170">D169*3.4</f>
        <v>159.79999999999998</v>
      </c>
      <c r="L169" s="164">
        <f t="shared" si="68"/>
        <v>170</v>
      </c>
      <c r="M169" s="164">
        <f t="shared" si="68"/>
        <v>183.6</v>
      </c>
      <c r="N169" s="164">
        <f t="shared" si="68"/>
        <v>193.79999999999998</v>
      </c>
      <c r="O169" s="164">
        <f t="shared" si="68"/>
        <v>193.79999999999998</v>
      </c>
      <c r="P169" s="164">
        <f t="shared" si="68"/>
        <v>191.862</v>
      </c>
      <c r="Q169" s="164">
        <f t="shared" si="68"/>
        <v>189.94338</v>
      </c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</row>
    <row r="170" spans="1:28" s="138" customFormat="1" ht="17.25" customHeight="1">
      <c r="A170" s="12">
        <f>A169+1</f>
        <v>11</v>
      </c>
      <c r="B170" s="97" t="s">
        <v>67</v>
      </c>
      <c r="C170" s="15" t="s">
        <v>68</v>
      </c>
      <c r="D170" s="162">
        <v>33</v>
      </c>
      <c r="E170" s="162">
        <v>35</v>
      </c>
      <c r="F170" s="162">
        <v>38</v>
      </c>
      <c r="G170" s="162">
        <v>38</v>
      </c>
      <c r="H170" s="162">
        <v>38</v>
      </c>
      <c r="I170" s="162">
        <f>H170*0.99</f>
        <v>37.62</v>
      </c>
      <c r="J170" s="163">
        <f>I170*0.99</f>
        <v>37.2438</v>
      </c>
      <c r="K170" s="165">
        <f t="shared" si="68"/>
        <v>112.2</v>
      </c>
      <c r="L170" s="164">
        <f t="shared" si="68"/>
        <v>119</v>
      </c>
      <c r="M170" s="164">
        <f t="shared" si="68"/>
        <v>129.2</v>
      </c>
      <c r="N170" s="164">
        <f t="shared" si="68"/>
        <v>129.2</v>
      </c>
      <c r="O170" s="164">
        <f t="shared" si="68"/>
        <v>129.2</v>
      </c>
      <c r="P170" s="164">
        <f t="shared" si="68"/>
        <v>127.90799999999999</v>
      </c>
      <c r="Q170" s="164">
        <f t="shared" si="68"/>
        <v>126.62892</v>
      </c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</row>
    <row r="171" spans="1:19" ht="21" customHeight="1">
      <c r="A171" s="406" t="s">
        <v>626</v>
      </c>
      <c r="B171" s="406"/>
      <c r="C171" s="406"/>
      <c r="D171" s="406"/>
      <c r="E171" s="406"/>
      <c r="F171" s="406"/>
      <c r="G171" s="406"/>
      <c r="H171" s="406"/>
      <c r="I171" s="406"/>
      <c r="J171" s="406"/>
      <c r="K171" s="415"/>
      <c r="L171" s="415"/>
      <c r="M171" s="415"/>
      <c r="N171" s="415"/>
      <c r="O171" s="415"/>
      <c r="P171" s="415"/>
      <c r="Q171" s="415"/>
      <c r="R171" s="139"/>
      <c r="S171" s="139"/>
    </row>
    <row r="172" spans="1:28" s="136" customFormat="1" ht="17.25" customHeight="1">
      <c r="A172" s="12">
        <f>A170+1</f>
        <v>12</v>
      </c>
      <c r="B172" s="97" t="s">
        <v>117</v>
      </c>
      <c r="C172" s="15" t="s">
        <v>118</v>
      </c>
      <c r="D172" s="162">
        <v>3</v>
      </c>
      <c r="E172" s="162">
        <v>1</v>
      </c>
      <c r="F172" s="162">
        <v>1</v>
      </c>
      <c r="G172" s="162">
        <v>1</v>
      </c>
      <c r="H172" s="162">
        <v>1</v>
      </c>
      <c r="I172" s="162">
        <f aca="true" t="shared" si="69" ref="I172:J177">H172*0.99</f>
        <v>0.99</v>
      </c>
      <c r="J172" s="197">
        <f t="shared" si="69"/>
        <v>0.9801</v>
      </c>
      <c r="K172" s="329">
        <f aca="true" t="shared" si="70" ref="K172:S172">D172*1.28</f>
        <v>3.84</v>
      </c>
      <c r="L172" s="167">
        <f t="shared" si="70"/>
        <v>1.28</v>
      </c>
      <c r="M172" s="167">
        <f t="shared" si="70"/>
        <v>1.28</v>
      </c>
      <c r="N172" s="167">
        <f t="shared" si="70"/>
        <v>1.28</v>
      </c>
      <c r="O172" s="167">
        <f t="shared" si="70"/>
        <v>1.28</v>
      </c>
      <c r="P172" s="167">
        <f t="shared" si="70"/>
        <v>1.2672</v>
      </c>
      <c r="Q172" s="167">
        <f t="shared" si="70"/>
        <v>1.254528</v>
      </c>
      <c r="R172" s="90">
        <f t="shared" si="70"/>
        <v>4.9152</v>
      </c>
      <c r="S172" s="72">
        <f t="shared" si="70"/>
        <v>1.6384</v>
      </c>
      <c r="T172" s="120"/>
      <c r="U172" s="120"/>
      <c r="V172" s="120"/>
      <c r="W172" s="120"/>
      <c r="X172" s="120"/>
      <c r="Y172" s="120"/>
      <c r="Z172" s="120"/>
      <c r="AA172" s="120"/>
      <c r="AB172" s="120"/>
    </row>
    <row r="173" spans="1:28" s="138" customFormat="1" ht="17.25" customHeight="1">
      <c r="A173" s="12">
        <f>A172+1</f>
        <v>13</v>
      </c>
      <c r="B173" s="97" t="s">
        <v>84</v>
      </c>
      <c r="C173" s="15" t="s">
        <v>85</v>
      </c>
      <c r="D173" s="162">
        <v>15</v>
      </c>
      <c r="E173" s="162">
        <f>14+5</f>
        <v>19</v>
      </c>
      <c r="F173" s="162">
        <f>14+3</f>
        <v>17</v>
      </c>
      <c r="G173" s="162">
        <f>13+3</f>
        <v>16</v>
      </c>
      <c r="H173" s="162">
        <f>14+1</f>
        <v>15</v>
      </c>
      <c r="I173" s="162">
        <f t="shared" si="69"/>
        <v>14.85</v>
      </c>
      <c r="J173" s="197">
        <f t="shared" si="69"/>
        <v>14.7015</v>
      </c>
      <c r="K173" s="329">
        <f aca="true" t="shared" si="71" ref="K173:Q177">D173*1.28</f>
        <v>19.2</v>
      </c>
      <c r="L173" s="167">
        <f t="shared" si="71"/>
        <v>24.32</v>
      </c>
      <c r="M173" s="167">
        <f t="shared" si="71"/>
        <v>21.76</v>
      </c>
      <c r="N173" s="167">
        <f t="shared" si="71"/>
        <v>20.48</v>
      </c>
      <c r="O173" s="167">
        <f t="shared" si="71"/>
        <v>19.2</v>
      </c>
      <c r="P173" s="167">
        <f t="shared" si="71"/>
        <v>19.008</v>
      </c>
      <c r="Q173" s="167">
        <f t="shared" si="71"/>
        <v>18.81792</v>
      </c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</row>
    <row r="174" spans="1:28" s="138" customFormat="1" ht="17.25" customHeight="1">
      <c r="A174" s="12">
        <f aca="true" t="shared" si="72" ref="A174:A185">A173+1</f>
        <v>14</v>
      </c>
      <c r="B174" s="97" t="s">
        <v>1140</v>
      </c>
      <c r="C174" s="15" t="s">
        <v>1139</v>
      </c>
      <c r="D174" s="162" t="s">
        <v>998</v>
      </c>
      <c r="E174" s="162">
        <v>14</v>
      </c>
      <c r="F174" s="162">
        <v>8</v>
      </c>
      <c r="G174" s="162">
        <v>8</v>
      </c>
      <c r="H174" s="162">
        <v>1</v>
      </c>
      <c r="I174" s="162">
        <f t="shared" si="69"/>
        <v>0.99</v>
      </c>
      <c r="J174" s="197">
        <f t="shared" si="69"/>
        <v>0.9801</v>
      </c>
      <c r="K174" s="329" t="s">
        <v>998</v>
      </c>
      <c r="L174" s="167">
        <f aca="true" t="shared" si="73" ref="L174:Q174">E174*1.28</f>
        <v>17.92</v>
      </c>
      <c r="M174" s="167">
        <f t="shared" si="73"/>
        <v>10.24</v>
      </c>
      <c r="N174" s="167">
        <f t="shared" si="73"/>
        <v>10.24</v>
      </c>
      <c r="O174" s="167">
        <f t="shared" si="73"/>
        <v>1.28</v>
      </c>
      <c r="P174" s="167">
        <f t="shared" si="73"/>
        <v>1.2672</v>
      </c>
      <c r="Q174" s="167">
        <f t="shared" si="73"/>
        <v>1.254528</v>
      </c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</row>
    <row r="175" spans="1:17" s="318" customFormat="1" ht="31.5" customHeight="1">
      <c r="A175" s="12">
        <f t="shared" si="72"/>
        <v>15</v>
      </c>
      <c r="B175" s="97" t="s">
        <v>355</v>
      </c>
      <c r="C175" s="15" t="s">
        <v>1188</v>
      </c>
      <c r="D175" s="162" t="s">
        <v>998</v>
      </c>
      <c r="E175" s="162">
        <v>1</v>
      </c>
      <c r="F175" s="162" t="s">
        <v>998</v>
      </c>
      <c r="G175" s="162" t="s">
        <v>998</v>
      </c>
      <c r="H175" s="162">
        <v>1</v>
      </c>
      <c r="I175" s="162">
        <f t="shared" si="69"/>
        <v>0.99</v>
      </c>
      <c r="J175" s="197">
        <f t="shared" si="69"/>
        <v>0.9801</v>
      </c>
      <c r="K175" s="329" t="s">
        <v>998</v>
      </c>
      <c r="L175" s="167">
        <f>E175*1.28</f>
        <v>1.28</v>
      </c>
      <c r="M175" s="167" t="s">
        <v>998</v>
      </c>
      <c r="N175" s="167" t="s">
        <v>998</v>
      </c>
      <c r="O175" s="167">
        <f>H175*1.28</f>
        <v>1.28</v>
      </c>
      <c r="P175" s="167">
        <f>I175*1.28</f>
        <v>1.2672</v>
      </c>
      <c r="Q175" s="167">
        <f>J175*1.28</f>
        <v>1.254528</v>
      </c>
    </row>
    <row r="176" spans="1:28" s="136" customFormat="1" ht="17.25" customHeight="1">
      <c r="A176" s="12">
        <f t="shared" si="72"/>
        <v>16</v>
      </c>
      <c r="B176" s="97" t="s">
        <v>408</v>
      </c>
      <c r="C176" s="15">
        <v>15100151</v>
      </c>
      <c r="D176" s="162">
        <f>33-2-10-3</f>
        <v>18</v>
      </c>
      <c r="E176" s="162">
        <f>33-1-12+2+1-6</f>
        <v>17</v>
      </c>
      <c r="F176" s="162">
        <f>32-1-12+2+1-5</f>
        <v>17</v>
      </c>
      <c r="G176" s="162">
        <f>40-1-12+2-5</f>
        <v>24</v>
      </c>
      <c r="H176" s="162">
        <f>34-1-12+2</f>
        <v>23</v>
      </c>
      <c r="I176" s="162">
        <f t="shared" si="69"/>
        <v>22.77</v>
      </c>
      <c r="J176" s="197">
        <f t="shared" si="69"/>
        <v>22.5423</v>
      </c>
      <c r="K176" s="329">
        <f t="shared" si="71"/>
        <v>23.04</v>
      </c>
      <c r="L176" s="167">
        <f t="shared" si="71"/>
        <v>21.76</v>
      </c>
      <c r="M176" s="167">
        <f t="shared" si="71"/>
        <v>21.76</v>
      </c>
      <c r="N176" s="167">
        <f t="shared" si="71"/>
        <v>30.72</v>
      </c>
      <c r="O176" s="167">
        <f t="shared" si="71"/>
        <v>29.44</v>
      </c>
      <c r="P176" s="167">
        <f t="shared" si="71"/>
        <v>29.1456</v>
      </c>
      <c r="Q176" s="167">
        <f t="shared" si="71"/>
        <v>28.854144</v>
      </c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</row>
    <row r="177" spans="1:28" s="138" customFormat="1" ht="17.25" customHeight="1">
      <c r="A177" s="12">
        <f t="shared" si="72"/>
        <v>17</v>
      </c>
      <c r="B177" s="97" t="s">
        <v>409</v>
      </c>
      <c r="C177" s="15" t="s">
        <v>410</v>
      </c>
      <c r="D177" s="162">
        <f>13-10</f>
        <v>3</v>
      </c>
      <c r="E177" s="162">
        <f>13-10</f>
        <v>3</v>
      </c>
      <c r="F177" s="162">
        <f>13-10</f>
        <v>3</v>
      </c>
      <c r="G177" s="162">
        <f>13-10</f>
        <v>3</v>
      </c>
      <c r="H177" s="162">
        <f>13-10</f>
        <v>3</v>
      </c>
      <c r="I177" s="162">
        <f t="shared" si="69"/>
        <v>2.9699999999999998</v>
      </c>
      <c r="J177" s="197">
        <f t="shared" si="69"/>
        <v>2.9402999999999997</v>
      </c>
      <c r="K177" s="329">
        <f t="shared" si="71"/>
        <v>3.84</v>
      </c>
      <c r="L177" s="167">
        <f t="shared" si="71"/>
        <v>3.84</v>
      </c>
      <c r="M177" s="167">
        <f t="shared" si="71"/>
        <v>3.84</v>
      </c>
      <c r="N177" s="167">
        <f t="shared" si="71"/>
        <v>3.84</v>
      </c>
      <c r="O177" s="167">
        <f t="shared" si="71"/>
        <v>3.84</v>
      </c>
      <c r="P177" s="167">
        <f t="shared" si="71"/>
        <v>3.8015999999999996</v>
      </c>
      <c r="Q177" s="167">
        <f t="shared" si="71"/>
        <v>3.763584</v>
      </c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</row>
    <row r="178" spans="1:28" s="138" customFormat="1" ht="17.25" customHeight="1">
      <c r="A178" s="12">
        <f t="shared" si="72"/>
        <v>18</v>
      </c>
      <c r="B178" s="105" t="s">
        <v>3</v>
      </c>
      <c r="C178" s="15" t="s">
        <v>4</v>
      </c>
      <c r="D178" s="162" t="s">
        <v>556</v>
      </c>
      <c r="E178" s="162">
        <v>1</v>
      </c>
      <c r="F178" s="162">
        <v>1</v>
      </c>
      <c r="G178" s="162">
        <v>1</v>
      </c>
      <c r="H178" s="162" t="s">
        <v>556</v>
      </c>
      <c r="I178" s="162" t="s">
        <v>556</v>
      </c>
      <c r="J178" s="197" t="s">
        <v>556</v>
      </c>
      <c r="K178" s="330" t="s">
        <v>556</v>
      </c>
      <c r="L178" s="167">
        <f aca="true" t="shared" si="74" ref="L178:N180">E178*1.28</f>
        <v>1.28</v>
      </c>
      <c r="M178" s="167">
        <f t="shared" si="74"/>
        <v>1.28</v>
      </c>
      <c r="N178" s="167">
        <f t="shared" si="74"/>
        <v>1.28</v>
      </c>
      <c r="O178" s="162" t="s">
        <v>556</v>
      </c>
      <c r="P178" s="162" t="s">
        <v>556</v>
      </c>
      <c r="Q178" s="162" t="s">
        <v>556</v>
      </c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</row>
    <row r="179" spans="1:28" s="138" customFormat="1" ht="17.25" customHeight="1">
      <c r="A179" s="12">
        <f t="shared" si="72"/>
        <v>19</v>
      </c>
      <c r="B179" s="97" t="s">
        <v>1287</v>
      </c>
      <c r="C179" s="15" t="s">
        <v>1288</v>
      </c>
      <c r="D179" s="162">
        <v>67</v>
      </c>
      <c r="E179" s="162">
        <v>63</v>
      </c>
      <c r="F179" s="162">
        <v>56</v>
      </c>
      <c r="G179" s="162">
        <v>55</v>
      </c>
      <c r="H179" s="162">
        <v>55</v>
      </c>
      <c r="I179" s="162">
        <f aca="true" t="shared" si="75" ref="I179:J184">H179*0.99</f>
        <v>54.45</v>
      </c>
      <c r="J179" s="197">
        <f t="shared" si="75"/>
        <v>53.9055</v>
      </c>
      <c r="K179" s="329">
        <f aca="true" t="shared" si="76" ref="K179:K184">D179*1.28</f>
        <v>85.76</v>
      </c>
      <c r="L179" s="167">
        <f t="shared" si="74"/>
        <v>80.64</v>
      </c>
      <c r="M179" s="167">
        <f t="shared" si="74"/>
        <v>71.68</v>
      </c>
      <c r="N179" s="167">
        <f t="shared" si="74"/>
        <v>70.4</v>
      </c>
      <c r="O179" s="167">
        <f aca="true" t="shared" si="77" ref="O179:Q184">H179*1.28</f>
        <v>70.4</v>
      </c>
      <c r="P179" s="167">
        <f t="shared" si="77"/>
        <v>69.69600000000001</v>
      </c>
      <c r="Q179" s="167">
        <f t="shared" si="77"/>
        <v>68.99904000000001</v>
      </c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</row>
    <row r="180" spans="1:28" s="138" customFormat="1" ht="17.25" customHeight="1">
      <c r="A180" s="12">
        <f t="shared" si="72"/>
        <v>20</v>
      </c>
      <c r="B180" s="97" t="s">
        <v>542</v>
      </c>
      <c r="C180" s="15" t="s">
        <v>543</v>
      </c>
      <c r="D180" s="162">
        <v>1</v>
      </c>
      <c r="E180" s="162">
        <v>1</v>
      </c>
      <c r="F180" s="162">
        <v>1</v>
      </c>
      <c r="G180" s="162">
        <v>1</v>
      </c>
      <c r="H180" s="162">
        <v>1</v>
      </c>
      <c r="I180" s="162">
        <f t="shared" si="75"/>
        <v>0.99</v>
      </c>
      <c r="J180" s="197">
        <f t="shared" si="75"/>
        <v>0.9801</v>
      </c>
      <c r="K180" s="329">
        <f t="shared" si="76"/>
        <v>1.28</v>
      </c>
      <c r="L180" s="167">
        <f t="shared" si="74"/>
        <v>1.28</v>
      </c>
      <c r="M180" s="167">
        <f t="shared" si="74"/>
        <v>1.28</v>
      </c>
      <c r="N180" s="167">
        <f t="shared" si="74"/>
        <v>1.28</v>
      </c>
      <c r="O180" s="167">
        <f t="shared" si="77"/>
        <v>1.28</v>
      </c>
      <c r="P180" s="167">
        <f t="shared" si="77"/>
        <v>1.2672</v>
      </c>
      <c r="Q180" s="167">
        <f t="shared" si="77"/>
        <v>1.254528</v>
      </c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</row>
    <row r="181" spans="1:28" s="138" customFormat="1" ht="17.25" customHeight="1">
      <c r="A181" s="12">
        <f t="shared" si="72"/>
        <v>21</v>
      </c>
      <c r="B181" s="97" t="s">
        <v>6</v>
      </c>
      <c r="C181" s="15" t="s">
        <v>7</v>
      </c>
      <c r="D181" s="162">
        <v>5</v>
      </c>
      <c r="E181" s="162">
        <v>4</v>
      </c>
      <c r="F181" s="162">
        <v>4</v>
      </c>
      <c r="G181" s="162" t="s">
        <v>556</v>
      </c>
      <c r="H181" s="162">
        <v>1</v>
      </c>
      <c r="I181" s="162">
        <f t="shared" si="75"/>
        <v>0.99</v>
      </c>
      <c r="J181" s="197">
        <f t="shared" si="75"/>
        <v>0.9801</v>
      </c>
      <c r="K181" s="329">
        <f t="shared" si="76"/>
        <v>6.4</v>
      </c>
      <c r="L181" s="167">
        <f aca="true" t="shared" si="78" ref="L181:M185">E181*1.28</f>
        <v>5.12</v>
      </c>
      <c r="M181" s="167">
        <f t="shared" si="78"/>
        <v>5.12</v>
      </c>
      <c r="N181" s="162" t="s">
        <v>556</v>
      </c>
      <c r="O181" s="167">
        <f t="shared" si="77"/>
        <v>1.28</v>
      </c>
      <c r="P181" s="167">
        <f t="shared" si="77"/>
        <v>1.2672</v>
      </c>
      <c r="Q181" s="167">
        <f t="shared" si="77"/>
        <v>1.254528</v>
      </c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</row>
    <row r="182" spans="1:28" s="138" customFormat="1" ht="15.75" customHeight="1">
      <c r="A182" s="12">
        <f t="shared" si="72"/>
        <v>22</v>
      </c>
      <c r="B182" s="97" t="s">
        <v>646</v>
      </c>
      <c r="C182" s="15" t="s">
        <v>597</v>
      </c>
      <c r="D182" s="162">
        <v>1</v>
      </c>
      <c r="E182" s="162">
        <v>4</v>
      </c>
      <c r="F182" s="162">
        <v>2</v>
      </c>
      <c r="G182" s="162">
        <v>2</v>
      </c>
      <c r="H182" s="162">
        <v>1</v>
      </c>
      <c r="I182" s="162">
        <f t="shared" si="75"/>
        <v>0.99</v>
      </c>
      <c r="J182" s="197">
        <f t="shared" si="75"/>
        <v>0.9801</v>
      </c>
      <c r="K182" s="329">
        <f t="shared" si="76"/>
        <v>1.28</v>
      </c>
      <c r="L182" s="167">
        <f t="shared" si="78"/>
        <v>5.12</v>
      </c>
      <c r="M182" s="167">
        <f t="shared" si="78"/>
        <v>2.56</v>
      </c>
      <c r="N182" s="167">
        <f>G182*1.28</f>
        <v>2.56</v>
      </c>
      <c r="O182" s="167">
        <f t="shared" si="77"/>
        <v>1.28</v>
      </c>
      <c r="P182" s="167">
        <f t="shared" si="77"/>
        <v>1.2672</v>
      </c>
      <c r="Q182" s="167">
        <f t="shared" si="77"/>
        <v>1.254528</v>
      </c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</row>
    <row r="183" spans="1:28" s="138" customFormat="1" ht="15.75" customHeight="1">
      <c r="A183" s="12">
        <f t="shared" si="72"/>
        <v>23</v>
      </c>
      <c r="B183" s="97" t="s">
        <v>403</v>
      </c>
      <c r="C183" s="15" t="s">
        <v>404</v>
      </c>
      <c r="D183" s="162">
        <v>28</v>
      </c>
      <c r="E183" s="162">
        <v>21</v>
      </c>
      <c r="F183" s="162">
        <v>26</v>
      </c>
      <c r="G183" s="162">
        <v>25</v>
      </c>
      <c r="H183" s="162">
        <v>24</v>
      </c>
      <c r="I183" s="162">
        <f t="shared" si="75"/>
        <v>23.759999999999998</v>
      </c>
      <c r="J183" s="197">
        <f t="shared" si="75"/>
        <v>23.522399999999998</v>
      </c>
      <c r="K183" s="329">
        <f t="shared" si="76"/>
        <v>35.84</v>
      </c>
      <c r="L183" s="167">
        <f t="shared" si="78"/>
        <v>26.88</v>
      </c>
      <c r="M183" s="167">
        <f t="shared" si="78"/>
        <v>33.28</v>
      </c>
      <c r="N183" s="167">
        <f>G183*1.28</f>
        <v>32</v>
      </c>
      <c r="O183" s="167">
        <f t="shared" si="77"/>
        <v>30.72</v>
      </c>
      <c r="P183" s="167">
        <f t="shared" si="77"/>
        <v>30.412799999999997</v>
      </c>
      <c r="Q183" s="167">
        <f t="shared" si="77"/>
        <v>30.108672</v>
      </c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</row>
    <row r="184" spans="1:17" s="137" customFormat="1" ht="15.75" customHeight="1">
      <c r="A184" s="12">
        <f t="shared" si="72"/>
        <v>24</v>
      </c>
      <c r="B184" s="97" t="s">
        <v>1281</v>
      </c>
      <c r="C184" s="15" t="s">
        <v>1282</v>
      </c>
      <c r="D184" s="162">
        <v>23</v>
      </c>
      <c r="E184" s="162">
        <v>25</v>
      </c>
      <c r="F184" s="162">
        <v>25</v>
      </c>
      <c r="G184" s="162">
        <v>26</v>
      </c>
      <c r="H184" s="162">
        <v>25</v>
      </c>
      <c r="I184" s="162">
        <f t="shared" si="75"/>
        <v>24.75</v>
      </c>
      <c r="J184" s="197">
        <f t="shared" si="75"/>
        <v>24.5025</v>
      </c>
      <c r="K184" s="329">
        <f t="shared" si="76"/>
        <v>29.44</v>
      </c>
      <c r="L184" s="167">
        <f t="shared" si="78"/>
        <v>32</v>
      </c>
      <c r="M184" s="167">
        <f t="shared" si="78"/>
        <v>32</v>
      </c>
      <c r="N184" s="167">
        <f>G184*1.28</f>
        <v>33.28</v>
      </c>
      <c r="O184" s="167">
        <f t="shared" si="77"/>
        <v>32</v>
      </c>
      <c r="P184" s="167">
        <f t="shared" si="77"/>
        <v>31.68</v>
      </c>
      <c r="Q184" s="167">
        <f t="shared" si="77"/>
        <v>31.363200000000003</v>
      </c>
    </row>
    <row r="185" spans="1:17" s="308" customFormat="1" ht="15.75" customHeight="1">
      <c r="A185" s="12">
        <f t="shared" si="72"/>
        <v>25</v>
      </c>
      <c r="B185" s="97" t="s">
        <v>1142</v>
      </c>
      <c r="C185" s="15" t="s">
        <v>1141</v>
      </c>
      <c r="D185" s="162" t="s">
        <v>998</v>
      </c>
      <c r="E185" s="162">
        <v>1</v>
      </c>
      <c r="F185" s="162">
        <v>2</v>
      </c>
      <c r="G185" s="162" t="s">
        <v>998</v>
      </c>
      <c r="H185" s="162" t="s">
        <v>998</v>
      </c>
      <c r="I185" s="162" t="s">
        <v>998</v>
      </c>
      <c r="J185" s="197" t="s">
        <v>998</v>
      </c>
      <c r="K185" s="329" t="s">
        <v>998</v>
      </c>
      <c r="L185" s="167">
        <f t="shared" si="78"/>
        <v>1.28</v>
      </c>
      <c r="M185" s="167">
        <f t="shared" si="78"/>
        <v>2.56</v>
      </c>
      <c r="N185" s="167" t="s">
        <v>998</v>
      </c>
      <c r="O185" s="167" t="s">
        <v>998</v>
      </c>
      <c r="P185" s="167" t="s">
        <v>998</v>
      </c>
      <c r="Q185" s="167" t="s">
        <v>998</v>
      </c>
    </row>
    <row r="186" spans="1:19" ht="18.75" customHeight="1">
      <c r="A186" s="406" t="s">
        <v>625</v>
      </c>
      <c r="B186" s="406"/>
      <c r="C186" s="406"/>
      <c r="D186" s="406"/>
      <c r="E186" s="406"/>
      <c r="F186" s="406"/>
      <c r="G186" s="406"/>
      <c r="H186" s="406"/>
      <c r="I186" s="406"/>
      <c r="J186" s="406"/>
      <c r="K186" s="416"/>
      <c r="L186" s="416"/>
      <c r="M186" s="416"/>
      <c r="N186" s="416"/>
      <c r="O186" s="416"/>
      <c r="P186" s="416"/>
      <c r="Q186" s="416"/>
      <c r="R186" s="139"/>
      <c r="S186" s="139"/>
    </row>
    <row r="187" spans="1:28" s="138" customFormat="1" ht="16.5" customHeight="1">
      <c r="A187" s="12">
        <f>A185+1</f>
        <v>26</v>
      </c>
      <c r="B187" s="97" t="s">
        <v>422</v>
      </c>
      <c r="C187" s="15" t="s">
        <v>423</v>
      </c>
      <c r="D187" s="162">
        <f>91-1</f>
        <v>90</v>
      </c>
      <c r="E187" s="162">
        <f>93-1</f>
        <v>92</v>
      </c>
      <c r="F187" s="162">
        <f>95-1</f>
        <v>94</v>
      </c>
      <c r="G187" s="162">
        <f>90-1</f>
        <v>89</v>
      </c>
      <c r="H187" s="162">
        <f>93-1</f>
        <v>92</v>
      </c>
      <c r="I187" s="162">
        <f aca="true" t="shared" si="79" ref="I187:J190">H187*0.99</f>
        <v>91.08</v>
      </c>
      <c r="J187" s="163">
        <f t="shared" si="79"/>
        <v>90.1692</v>
      </c>
      <c r="K187" s="161">
        <f aca="true" t="shared" si="80" ref="K187:Q190">D187*1.5</f>
        <v>135</v>
      </c>
      <c r="L187" s="162">
        <f t="shared" si="80"/>
        <v>138</v>
      </c>
      <c r="M187" s="162">
        <f t="shared" si="80"/>
        <v>141</v>
      </c>
      <c r="N187" s="162">
        <f t="shared" si="80"/>
        <v>133.5</v>
      </c>
      <c r="O187" s="162">
        <f t="shared" si="80"/>
        <v>138</v>
      </c>
      <c r="P187" s="162">
        <f t="shared" si="80"/>
        <v>136.62</v>
      </c>
      <c r="Q187" s="162">
        <f t="shared" si="80"/>
        <v>135.2538</v>
      </c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</row>
    <row r="188" spans="1:28" s="138" customFormat="1" ht="30" customHeight="1">
      <c r="A188" s="12">
        <f>A187+1</f>
        <v>27</v>
      </c>
      <c r="B188" s="97" t="s">
        <v>280</v>
      </c>
      <c r="C188" s="66" t="s">
        <v>281</v>
      </c>
      <c r="D188" s="162">
        <f>41-1</f>
        <v>40</v>
      </c>
      <c r="E188" s="162">
        <f>40-1</f>
        <v>39</v>
      </c>
      <c r="F188" s="162">
        <f>40-1</f>
        <v>39</v>
      </c>
      <c r="G188" s="162">
        <f>40-1</f>
        <v>39</v>
      </c>
      <c r="H188" s="162">
        <f>39-1</f>
        <v>38</v>
      </c>
      <c r="I188" s="162">
        <f t="shared" si="79"/>
        <v>37.62</v>
      </c>
      <c r="J188" s="163">
        <f t="shared" si="79"/>
        <v>37.2438</v>
      </c>
      <c r="K188" s="161">
        <f t="shared" si="80"/>
        <v>60</v>
      </c>
      <c r="L188" s="162">
        <f t="shared" si="80"/>
        <v>58.5</v>
      </c>
      <c r="M188" s="162">
        <f t="shared" si="80"/>
        <v>58.5</v>
      </c>
      <c r="N188" s="162">
        <f t="shared" si="80"/>
        <v>58.5</v>
      </c>
      <c r="O188" s="162">
        <f t="shared" si="80"/>
        <v>57</v>
      </c>
      <c r="P188" s="162">
        <f t="shared" si="80"/>
        <v>56.42999999999999</v>
      </c>
      <c r="Q188" s="162">
        <f t="shared" si="80"/>
        <v>55.865700000000004</v>
      </c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</row>
    <row r="189" spans="1:28" s="138" customFormat="1" ht="30.75" customHeight="1">
      <c r="A189" s="12">
        <f>A188+1</f>
        <v>28</v>
      </c>
      <c r="B189" s="97" t="s">
        <v>137</v>
      </c>
      <c r="C189" s="15" t="s">
        <v>138</v>
      </c>
      <c r="D189" s="162">
        <v>25</v>
      </c>
      <c r="E189" s="162">
        <v>25</v>
      </c>
      <c r="F189" s="162">
        <v>25</v>
      </c>
      <c r="G189" s="162">
        <v>25</v>
      </c>
      <c r="H189" s="162">
        <v>25</v>
      </c>
      <c r="I189" s="162">
        <f t="shared" si="79"/>
        <v>24.75</v>
      </c>
      <c r="J189" s="163">
        <f t="shared" si="79"/>
        <v>24.5025</v>
      </c>
      <c r="K189" s="161">
        <f t="shared" si="80"/>
        <v>37.5</v>
      </c>
      <c r="L189" s="162">
        <f t="shared" si="80"/>
        <v>37.5</v>
      </c>
      <c r="M189" s="162">
        <f t="shared" si="80"/>
        <v>37.5</v>
      </c>
      <c r="N189" s="162">
        <f t="shared" si="80"/>
        <v>37.5</v>
      </c>
      <c r="O189" s="162">
        <f t="shared" si="80"/>
        <v>37.5</v>
      </c>
      <c r="P189" s="162">
        <f t="shared" si="80"/>
        <v>37.125</v>
      </c>
      <c r="Q189" s="162">
        <f t="shared" si="80"/>
        <v>36.753750000000004</v>
      </c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</row>
    <row r="190" spans="1:28" s="138" customFormat="1" ht="29.25" customHeight="1">
      <c r="A190" s="12">
        <f>A189+1</f>
        <v>29</v>
      </c>
      <c r="B190" s="97" t="s">
        <v>1299</v>
      </c>
      <c r="C190" s="15" t="s">
        <v>1300</v>
      </c>
      <c r="D190" s="162">
        <v>19</v>
      </c>
      <c r="E190" s="162">
        <v>16</v>
      </c>
      <c r="F190" s="162">
        <v>12</v>
      </c>
      <c r="G190" s="162">
        <v>12</v>
      </c>
      <c r="H190" s="162">
        <v>16</v>
      </c>
      <c r="I190" s="162">
        <f t="shared" si="79"/>
        <v>15.84</v>
      </c>
      <c r="J190" s="163">
        <f t="shared" si="79"/>
        <v>15.6816</v>
      </c>
      <c r="K190" s="161">
        <f t="shared" si="80"/>
        <v>28.5</v>
      </c>
      <c r="L190" s="162">
        <f t="shared" si="80"/>
        <v>24</v>
      </c>
      <c r="M190" s="162">
        <f t="shared" si="80"/>
        <v>18</v>
      </c>
      <c r="N190" s="162">
        <f t="shared" si="80"/>
        <v>18</v>
      </c>
      <c r="O190" s="162">
        <f t="shared" si="80"/>
        <v>24</v>
      </c>
      <c r="P190" s="162">
        <f t="shared" si="80"/>
        <v>23.759999999999998</v>
      </c>
      <c r="Q190" s="162">
        <f t="shared" si="80"/>
        <v>23.522399999999998</v>
      </c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</row>
    <row r="191" spans="1:191" s="10" customFormat="1" ht="21" customHeight="1">
      <c r="A191" s="406" t="s">
        <v>29</v>
      </c>
      <c r="B191" s="406"/>
      <c r="C191" s="406"/>
      <c r="D191" s="406"/>
      <c r="E191" s="406"/>
      <c r="F191" s="406"/>
      <c r="G191" s="406"/>
      <c r="H191" s="406"/>
      <c r="I191" s="406"/>
      <c r="J191" s="406"/>
      <c r="K191" s="406"/>
      <c r="L191" s="406"/>
      <c r="M191" s="406"/>
      <c r="N191" s="406"/>
      <c r="O191" s="406"/>
      <c r="P191" s="406"/>
      <c r="Q191" s="406"/>
      <c r="R191" s="68"/>
      <c r="S191" s="68"/>
      <c r="T191" s="32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6"/>
      <c r="EC191" s="36"/>
      <c r="ED191" s="36"/>
      <c r="EE191" s="36"/>
      <c r="EF191" s="36"/>
      <c r="EG191" s="36"/>
      <c r="EH191" s="36"/>
      <c r="EI191" s="36"/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6"/>
      <c r="EV191" s="36"/>
      <c r="EW191" s="36"/>
      <c r="EX191" s="36"/>
      <c r="EY191" s="36"/>
      <c r="EZ191" s="36"/>
      <c r="FA191" s="36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6"/>
      <c r="FW191" s="36"/>
      <c r="FX191" s="36"/>
      <c r="FY191" s="36"/>
      <c r="FZ191" s="36"/>
      <c r="GA191" s="36"/>
      <c r="GB191" s="36"/>
      <c r="GC191" s="36"/>
      <c r="GD191" s="36"/>
      <c r="GE191" s="36"/>
      <c r="GF191" s="36"/>
      <c r="GG191" s="36"/>
      <c r="GH191" s="36"/>
      <c r="GI191" s="36"/>
    </row>
    <row r="192" spans="1:28" s="138" customFormat="1" ht="15.75" customHeight="1">
      <c r="A192" s="12">
        <f>A190+1</f>
        <v>30</v>
      </c>
      <c r="B192" s="97" t="s">
        <v>561</v>
      </c>
      <c r="C192" s="66" t="s">
        <v>804</v>
      </c>
      <c r="D192" s="162">
        <v>58</v>
      </c>
      <c r="E192" s="162">
        <f>49+2+1+1</f>
        <v>53</v>
      </c>
      <c r="F192" s="162">
        <f>49+2+2+1+1</f>
        <v>55</v>
      </c>
      <c r="G192" s="162">
        <f>49+1+1</f>
        <v>51</v>
      </c>
      <c r="H192" s="162">
        <v>48</v>
      </c>
      <c r="I192" s="162">
        <f aca="true" t="shared" si="81" ref="I192:J198">H192*0.99</f>
        <v>47.519999999999996</v>
      </c>
      <c r="J192" s="163">
        <f t="shared" si="81"/>
        <v>47.044799999999995</v>
      </c>
      <c r="K192" s="161">
        <f aca="true" t="shared" si="82" ref="K192:Q198">D192*1.54</f>
        <v>89.32000000000001</v>
      </c>
      <c r="L192" s="162">
        <f t="shared" si="82"/>
        <v>81.62</v>
      </c>
      <c r="M192" s="162">
        <f t="shared" si="82"/>
        <v>84.7</v>
      </c>
      <c r="N192" s="162">
        <f t="shared" si="82"/>
        <v>78.54</v>
      </c>
      <c r="O192" s="162">
        <f t="shared" si="82"/>
        <v>73.92</v>
      </c>
      <c r="P192" s="162">
        <f t="shared" si="82"/>
        <v>73.18079999999999</v>
      </c>
      <c r="Q192" s="162">
        <f t="shared" si="82"/>
        <v>72.44899199999999</v>
      </c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</row>
    <row r="193" spans="1:28" s="138" customFormat="1" ht="15.75" customHeight="1">
      <c r="A193" s="12">
        <f aca="true" t="shared" si="83" ref="A193:A198">A192+1</f>
        <v>31</v>
      </c>
      <c r="B193" s="97" t="s">
        <v>135</v>
      </c>
      <c r="C193" s="15" t="s">
        <v>136</v>
      </c>
      <c r="D193" s="162">
        <v>4</v>
      </c>
      <c r="E193" s="162">
        <v>4</v>
      </c>
      <c r="F193" s="162">
        <v>4</v>
      </c>
      <c r="G193" s="162">
        <v>4</v>
      </c>
      <c r="H193" s="162">
        <v>4</v>
      </c>
      <c r="I193" s="162">
        <f t="shared" si="81"/>
        <v>3.96</v>
      </c>
      <c r="J193" s="163">
        <f t="shared" si="81"/>
        <v>3.9204</v>
      </c>
      <c r="K193" s="161">
        <f t="shared" si="82"/>
        <v>6.16</v>
      </c>
      <c r="L193" s="162">
        <f t="shared" si="82"/>
        <v>6.16</v>
      </c>
      <c r="M193" s="162">
        <f t="shared" si="82"/>
        <v>6.16</v>
      </c>
      <c r="N193" s="162">
        <f t="shared" si="82"/>
        <v>6.16</v>
      </c>
      <c r="O193" s="162">
        <f t="shared" si="82"/>
        <v>6.16</v>
      </c>
      <c r="P193" s="162">
        <f t="shared" si="82"/>
        <v>6.0984</v>
      </c>
      <c r="Q193" s="162">
        <f t="shared" si="82"/>
        <v>6.037416</v>
      </c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</row>
    <row r="194" spans="1:28" s="138" customFormat="1" ht="15.75" customHeight="1">
      <c r="A194" s="12">
        <f t="shared" si="83"/>
        <v>32</v>
      </c>
      <c r="B194" s="97" t="s">
        <v>271</v>
      </c>
      <c r="C194" s="15" t="s">
        <v>272</v>
      </c>
      <c r="D194" s="162">
        <v>28</v>
      </c>
      <c r="E194" s="162">
        <v>28</v>
      </c>
      <c r="F194" s="162">
        <v>28</v>
      </c>
      <c r="G194" s="162">
        <v>28</v>
      </c>
      <c r="H194" s="162">
        <v>28</v>
      </c>
      <c r="I194" s="162">
        <f t="shared" si="81"/>
        <v>27.72</v>
      </c>
      <c r="J194" s="163">
        <f t="shared" si="81"/>
        <v>27.4428</v>
      </c>
      <c r="K194" s="161">
        <f t="shared" si="82"/>
        <v>43.120000000000005</v>
      </c>
      <c r="L194" s="162">
        <f t="shared" si="82"/>
        <v>43.120000000000005</v>
      </c>
      <c r="M194" s="162">
        <f t="shared" si="82"/>
        <v>43.120000000000005</v>
      </c>
      <c r="N194" s="162">
        <f t="shared" si="82"/>
        <v>43.120000000000005</v>
      </c>
      <c r="O194" s="162">
        <f t="shared" si="82"/>
        <v>43.120000000000005</v>
      </c>
      <c r="P194" s="162">
        <f t="shared" si="82"/>
        <v>42.6888</v>
      </c>
      <c r="Q194" s="162">
        <f t="shared" si="82"/>
        <v>42.261911999999995</v>
      </c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</row>
    <row r="195" spans="1:28" s="138" customFormat="1" ht="15.75" customHeight="1">
      <c r="A195" s="12">
        <f t="shared" si="83"/>
        <v>33</v>
      </c>
      <c r="B195" s="97" t="s">
        <v>1285</v>
      </c>
      <c r="C195" s="15" t="s">
        <v>1286</v>
      </c>
      <c r="D195" s="162">
        <v>26</v>
      </c>
      <c r="E195" s="162">
        <v>25</v>
      </c>
      <c r="F195" s="162">
        <v>25</v>
      </c>
      <c r="G195" s="162">
        <v>25</v>
      </c>
      <c r="H195" s="162">
        <v>26</v>
      </c>
      <c r="I195" s="162">
        <f t="shared" si="81"/>
        <v>25.74</v>
      </c>
      <c r="J195" s="163">
        <f t="shared" si="81"/>
        <v>25.482599999999998</v>
      </c>
      <c r="K195" s="161">
        <f t="shared" si="82"/>
        <v>40.04</v>
      </c>
      <c r="L195" s="162">
        <f t="shared" si="82"/>
        <v>38.5</v>
      </c>
      <c r="M195" s="162">
        <f t="shared" si="82"/>
        <v>38.5</v>
      </c>
      <c r="N195" s="162">
        <f t="shared" si="82"/>
        <v>38.5</v>
      </c>
      <c r="O195" s="162">
        <f t="shared" si="82"/>
        <v>40.04</v>
      </c>
      <c r="P195" s="162">
        <f t="shared" si="82"/>
        <v>39.6396</v>
      </c>
      <c r="Q195" s="162">
        <f t="shared" si="82"/>
        <v>39.243204</v>
      </c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</row>
    <row r="196" spans="1:28" s="138" customFormat="1" ht="15.75" customHeight="1">
      <c r="A196" s="12">
        <f t="shared" si="83"/>
        <v>34</v>
      </c>
      <c r="B196" s="97" t="s">
        <v>566</v>
      </c>
      <c r="C196" s="15" t="s">
        <v>567</v>
      </c>
      <c r="D196" s="162">
        <v>15</v>
      </c>
      <c r="E196" s="162">
        <v>12</v>
      </c>
      <c r="F196" s="162">
        <v>14</v>
      </c>
      <c r="G196" s="162">
        <v>18</v>
      </c>
      <c r="H196" s="162">
        <v>15</v>
      </c>
      <c r="I196" s="162">
        <f t="shared" si="81"/>
        <v>14.85</v>
      </c>
      <c r="J196" s="163">
        <f t="shared" si="81"/>
        <v>14.7015</v>
      </c>
      <c r="K196" s="161">
        <f t="shared" si="82"/>
        <v>23.1</v>
      </c>
      <c r="L196" s="162">
        <f t="shared" si="82"/>
        <v>18.48</v>
      </c>
      <c r="M196" s="162">
        <f t="shared" si="82"/>
        <v>21.560000000000002</v>
      </c>
      <c r="N196" s="162">
        <f t="shared" si="82"/>
        <v>27.72</v>
      </c>
      <c r="O196" s="162">
        <f t="shared" si="82"/>
        <v>23.1</v>
      </c>
      <c r="P196" s="162">
        <f t="shared" si="82"/>
        <v>22.869</v>
      </c>
      <c r="Q196" s="162">
        <f t="shared" si="82"/>
        <v>22.64031</v>
      </c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</row>
    <row r="197" spans="1:28" s="144" customFormat="1" ht="15.75">
      <c r="A197" s="12">
        <f t="shared" si="83"/>
        <v>35</v>
      </c>
      <c r="B197" s="142" t="s">
        <v>356</v>
      </c>
      <c r="C197" s="66" t="s">
        <v>571</v>
      </c>
      <c r="D197" s="162">
        <v>4</v>
      </c>
      <c r="E197" s="162">
        <f>1+3+3+5</f>
        <v>12</v>
      </c>
      <c r="F197" s="162">
        <f>1+2+1+3</f>
        <v>7</v>
      </c>
      <c r="G197" s="162">
        <f>1+1+3</f>
        <v>5</v>
      </c>
      <c r="H197" s="162">
        <f>1+1+9</f>
        <v>11</v>
      </c>
      <c r="I197" s="162">
        <f>H197*0.99</f>
        <v>10.89</v>
      </c>
      <c r="J197" s="163">
        <f>I197*0.99</f>
        <v>10.7811</v>
      </c>
      <c r="K197" s="161">
        <f aca="true" t="shared" si="84" ref="K197:Q197">D197*1.54</f>
        <v>6.16</v>
      </c>
      <c r="L197" s="162">
        <f t="shared" si="84"/>
        <v>18.48</v>
      </c>
      <c r="M197" s="162">
        <f t="shared" si="84"/>
        <v>10.780000000000001</v>
      </c>
      <c r="N197" s="162">
        <f t="shared" si="84"/>
        <v>7.7</v>
      </c>
      <c r="O197" s="162">
        <f t="shared" si="84"/>
        <v>16.94</v>
      </c>
      <c r="P197" s="162">
        <f t="shared" si="84"/>
        <v>16.7706</v>
      </c>
      <c r="Q197" s="162">
        <f t="shared" si="84"/>
        <v>16.602894</v>
      </c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</row>
    <row r="198" spans="1:28" s="138" customFormat="1" ht="15.75" customHeight="1">
      <c r="A198" s="12">
        <f t="shared" si="83"/>
        <v>36</v>
      </c>
      <c r="B198" s="105" t="s">
        <v>570</v>
      </c>
      <c r="C198" s="15" t="s">
        <v>39</v>
      </c>
      <c r="D198" s="162" t="s">
        <v>998</v>
      </c>
      <c r="E198" s="162">
        <f>2+1</f>
        <v>3</v>
      </c>
      <c r="F198" s="162" t="s">
        <v>998</v>
      </c>
      <c r="G198" s="162" t="s">
        <v>998</v>
      </c>
      <c r="H198" s="162">
        <f>2+1</f>
        <v>3</v>
      </c>
      <c r="I198" s="162">
        <f t="shared" si="81"/>
        <v>2.9699999999999998</v>
      </c>
      <c r="J198" s="197">
        <f t="shared" si="81"/>
        <v>2.9402999999999997</v>
      </c>
      <c r="K198" s="330" t="s">
        <v>998</v>
      </c>
      <c r="L198" s="162">
        <f t="shared" si="82"/>
        <v>4.62</v>
      </c>
      <c r="M198" s="162" t="s">
        <v>998</v>
      </c>
      <c r="N198" s="162" t="s">
        <v>998</v>
      </c>
      <c r="O198" s="162">
        <f t="shared" si="82"/>
        <v>4.62</v>
      </c>
      <c r="P198" s="162">
        <f t="shared" si="82"/>
        <v>4.573799999999999</v>
      </c>
      <c r="Q198" s="162">
        <f t="shared" si="82"/>
        <v>4.528061999999999</v>
      </c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</row>
    <row r="199" spans="1:19" ht="21" customHeight="1">
      <c r="A199" s="406" t="s">
        <v>624</v>
      </c>
      <c r="B199" s="406"/>
      <c r="C199" s="406"/>
      <c r="D199" s="406"/>
      <c r="E199" s="406"/>
      <c r="F199" s="406"/>
      <c r="G199" s="406"/>
      <c r="H199" s="406"/>
      <c r="I199" s="406"/>
      <c r="J199" s="406"/>
      <c r="K199" s="406"/>
      <c r="L199" s="406"/>
      <c r="M199" s="406"/>
      <c r="N199" s="406"/>
      <c r="O199" s="406"/>
      <c r="P199" s="406"/>
      <c r="Q199" s="406"/>
      <c r="R199" s="139"/>
      <c r="S199" s="139"/>
    </row>
    <row r="200" spans="1:28" s="138" customFormat="1" ht="27.75" customHeight="1">
      <c r="A200" s="12">
        <f>A198+1</f>
        <v>37</v>
      </c>
      <c r="B200" s="97" t="s">
        <v>299</v>
      </c>
      <c r="C200" s="15" t="s">
        <v>300</v>
      </c>
      <c r="D200" s="162">
        <v>28</v>
      </c>
      <c r="E200" s="162">
        <v>28</v>
      </c>
      <c r="F200" s="162">
        <v>28</v>
      </c>
      <c r="G200" s="162">
        <v>28</v>
      </c>
      <c r="H200" s="162">
        <v>28</v>
      </c>
      <c r="I200" s="162">
        <f aca="true" t="shared" si="85" ref="I200:J205">H200*0.99</f>
        <v>27.72</v>
      </c>
      <c r="J200" s="163">
        <f t="shared" si="85"/>
        <v>27.4428</v>
      </c>
      <c r="K200" s="166">
        <f aca="true" t="shared" si="86" ref="K200:Q205">D200*1.83</f>
        <v>51.24</v>
      </c>
      <c r="L200" s="167">
        <f t="shared" si="86"/>
        <v>51.24</v>
      </c>
      <c r="M200" s="167">
        <f t="shared" si="86"/>
        <v>51.24</v>
      </c>
      <c r="N200" s="167">
        <f t="shared" si="86"/>
        <v>51.24</v>
      </c>
      <c r="O200" s="167">
        <f t="shared" si="86"/>
        <v>51.24</v>
      </c>
      <c r="P200" s="167">
        <f t="shared" si="86"/>
        <v>50.7276</v>
      </c>
      <c r="Q200" s="167">
        <f t="shared" si="86"/>
        <v>50.220324</v>
      </c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</row>
    <row r="201" spans="1:28" s="136" customFormat="1" ht="30.75" customHeight="1">
      <c r="A201" s="12">
        <f aca="true" t="shared" si="87" ref="A201:A206">A200+1</f>
        <v>38</v>
      </c>
      <c r="B201" s="105" t="s">
        <v>133</v>
      </c>
      <c r="C201" s="15" t="s">
        <v>134</v>
      </c>
      <c r="D201" s="162">
        <v>18</v>
      </c>
      <c r="E201" s="162">
        <f>16+1+3</f>
        <v>20</v>
      </c>
      <c r="F201" s="162">
        <f>15+2+2</f>
        <v>19</v>
      </c>
      <c r="G201" s="162">
        <v>17</v>
      </c>
      <c r="H201" s="162">
        <f>17+2</f>
        <v>19</v>
      </c>
      <c r="I201" s="162">
        <f t="shared" si="85"/>
        <v>18.81</v>
      </c>
      <c r="J201" s="163">
        <f t="shared" si="85"/>
        <v>18.6219</v>
      </c>
      <c r="K201" s="166">
        <f t="shared" si="86"/>
        <v>32.94</v>
      </c>
      <c r="L201" s="167">
        <f t="shared" si="86"/>
        <v>36.6</v>
      </c>
      <c r="M201" s="167">
        <f t="shared" si="86"/>
        <v>34.77</v>
      </c>
      <c r="N201" s="167">
        <f t="shared" si="86"/>
        <v>31.11</v>
      </c>
      <c r="O201" s="167">
        <f t="shared" si="86"/>
        <v>34.77</v>
      </c>
      <c r="P201" s="167">
        <f t="shared" si="86"/>
        <v>34.4223</v>
      </c>
      <c r="Q201" s="167">
        <f t="shared" si="86"/>
        <v>34.078077</v>
      </c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</row>
    <row r="202" spans="1:17" s="304" customFormat="1" ht="30.75" customHeight="1">
      <c r="A202" s="12">
        <f t="shared" si="87"/>
        <v>39</v>
      </c>
      <c r="B202" s="105" t="s">
        <v>354</v>
      </c>
      <c r="C202" s="15" t="s">
        <v>1187</v>
      </c>
      <c r="D202" s="162" t="s">
        <v>998</v>
      </c>
      <c r="E202" s="162">
        <f>1+1</f>
        <v>2</v>
      </c>
      <c r="F202" s="162" t="s">
        <v>998</v>
      </c>
      <c r="G202" s="162">
        <v>1</v>
      </c>
      <c r="H202" s="162">
        <v>1</v>
      </c>
      <c r="I202" s="162">
        <f t="shared" si="85"/>
        <v>0.99</v>
      </c>
      <c r="J202" s="163">
        <f t="shared" si="85"/>
        <v>0.9801</v>
      </c>
      <c r="K202" s="166" t="s">
        <v>998</v>
      </c>
      <c r="L202" s="167">
        <f>E202*1.83</f>
        <v>3.66</v>
      </c>
      <c r="M202" s="167" t="s">
        <v>998</v>
      </c>
      <c r="N202" s="167">
        <f>G202*1.83</f>
        <v>1.83</v>
      </c>
      <c r="O202" s="167">
        <f>H202*1.83</f>
        <v>1.83</v>
      </c>
      <c r="P202" s="167">
        <f>I202*1.83</f>
        <v>1.8117</v>
      </c>
      <c r="Q202" s="167">
        <f>J202*1.83</f>
        <v>1.793583</v>
      </c>
    </row>
    <row r="203" spans="1:28" s="138" customFormat="1" ht="30.75" customHeight="1">
      <c r="A203" s="12">
        <f t="shared" si="87"/>
        <v>40</v>
      </c>
      <c r="B203" s="97" t="s">
        <v>144</v>
      </c>
      <c r="C203" s="15" t="s">
        <v>145</v>
      </c>
      <c r="D203" s="162">
        <v>14</v>
      </c>
      <c r="E203" s="162">
        <v>12</v>
      </c>
      <c r="F203" s="162">
        <v>12</v>
      </c>
      <c r="G203" s="162">
        <v>11</v>
      </c>
      <c r="H203" s="162">
        <v>12</v>
      </c>
      <c r="I203" s="162">
        <f t="shared" si="85"/>
        <v>11.879999999999999</v>
      </c>
      <c r="J203" s="163">
        <f t="shared" si="85"/>
        <v>11.761199999999999</v>
      </c>
      <c r="K203" s="166">
        <f t="shared" si="86"/>
        <v>25.62</v>
      </c>
      <c r="L203" s="167">
        <f t="shared" si="86"/>
        <v>21.96</v>
      </c>
      <c r="M203" s="167">
        <f t="shared" si="86"/>
        <v>21.96</v>
      </c>
      <c r="N203" s="167">
        <f t="shared" si="86"/>
        <v>20.130000000000003</v>
      </c>
      <c r="O203" s="167">
        <f t="shared" si="86"/>
        <v>21.96</v>
      </c>
      <c r="P203" s="167">
        <f t="shared" si="86"/>
        <v>21.740399999999998</v>
      </c>
      <c r="Q203" s="167">
        <f t="shared" si="86"/>
        <v>21.522996</v>
      </c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</row>
    <row r="204" spans="1:28" s="138" customFormat="1" ht="17.25" customHeight="1">
      <c r="A204" s="12">
        <f t="shared" si="87"/>
        <v>41</v>
      </c>
      <c r="B204" s="97" t="s">
        <v>1013</v>
      </c>
      <c r="C204" s="15" t="s">
        <v>1014</v>
      </c>
      <c r="D204" s="162">
        <v>1</v>
      </c>
      <c r="E204" s="162">
        <v>1</v>
      </c>
      <c r="F204" s="162">
        <v>1</v>
      </c>
      <c r="G204" s="162">
        <v>1</v>
      </c>
      <c r="H204" s="162">
        <v>1</v>
      </c>
      <c r="I204" s="162">
        <f t="shared" si="85"/>
        <v>0.99</v>
      </c>
      <c r="J204" s="163">
        <f t="shared" si="85"/>
        <v>0.9801</v>
      </c>
      <c r="K204" s="166">
        <f t="shared" si="86"/>
        <v>1.83</v>
      </c>
      <c r="L204" s="167">
        <f t="shared" si="86"/>
        <v>1.83</v>
      </c>
      <c r="M204" s="167">
        <f t="shared" si="86"/>
        <v>1.83</v>
      </c>
      <c r="N204" s="167">
        <f t="shared" si="86"/>
        <v>1.83</v>
      </c>
      <c r="O204" s="167">
        <f t="shared" si="86"/>
        <v>1.83</v>
      </c>
      <c r="P204" s="167">
        <f t="shared" si="86"/>
        <v>1.8117</v>
      </c>
      <c r="Q204" s="167">
        <f t="shared" si="86"/>
        <v>1.793583</v>
      </c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</row>
    <row r="205" spans="1:28" s="138" customFormat="1" ht="17.25" customHeight="1">
      <c r="A205" s="12">
        <f t="shared" si="87"/>
        <v>42</v>
      </c>
      <c r="B205" s="97" t="s">
        <v>1020</v>
      </c>
      <c r="C205" s="15" t="s">
        <v>1021</v>
      </c>
      <c r="D205" s="162">
        <v>17</v>
      </c>
      <c r="E205" s="162">
        <v>17</v>
      </c>
      <c r="F205" s="162">
        <v>20</v>
      </c>
      <c r="G205" s="162">
        <v>14</v>
      </c>
      <c r="H205" s="162">
        <v>17</v>
      </c>
      <c r="I205" s="162">
        <f t="shared" si="85"/>
        <v>16.83</v>
      </c>
      <c r="J205" s="163">
        <f t="shared" si="85"/>
        <v>16.6617</v>
      </c>
      <c r="K205" s="166">
        <f t="shared" si="86"/>
        <v>31.11</v>
      </c>
      <c r="L205" s="167">
        <f t="shared" si="86"/>
        <v>31.11</v>
      </c>
      <c r="M205" s="167">
        <f t="shared" si="86"/>
        <v>36.6</v>
      </c>
      <c r="N205" s="167">
        <f t="shared" si="86"/>
        <v>25.62</v>
      </c>
      <c r="O205" s="167">
        <f t="shared" si="86"/>
        <v>31.11</v>
      </c>
      <c r="P205" s="167">
        <f t="shared" si="86"/>
        <v>30.7989</v>
      </c>
      <c r="Q205" s="167">
        <f t="shared" si="86"/>
        <v>30.490911</v>
      </c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</row>
    <row r="206" spans="1:28" s="138" customFormat="1" ht="17.25" customHeight="1">
      <c r="A206" s="12">
        <f t="shared" si="87"/>
        <v>43</v>
      </c>
      <c r="B206" s="97" t="s">
        <v>1022</v>
      </c>
      <c r="C206" s="15" t="s">
        <v>1023</v>
      </c>
      <c r="D206" s="162">
        <v>1</v>
      </c>
      <c r="E206" s="162" t="s">
        <v>556</v>
      </c>
      <c r="F206" s="162">
        <v>6</v>
      </c>
      <c r="G206" s="162">
        <v>1</v>
      </c>
      <c r="H206" s="162" t="s">
        <v>556</v>
      </c>
      <c r="I206" s="162" t="s">
        <v>556</v>
      </c>
      <c r="J206" s="163" t="s">
        <v>556</v>
      </c>
      <c r="K206" s="166">
        <f>D206*1.83</f>
        <v>1.83</v>
      </c>
      <c r="L206" s="162" t="s">
        <v>556</v>
      </c>
      <c r="M206" s="167">
        <f>F206*1.83</f>
        <v>10.98</v>
      </c>
      <c r="N206" s="167">
        <f>G206*1.83</f>
        <v>1.83</v>
      </c>
      <c r="O206" s="162" t="s">
        <v>556</v>
      </c>
      <c r="P206" s="162" t="s">
        <v>556</v>
      </c>
      <c r="Q206" s="162" t="s">
        <v>556</v>
      </c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</row>
    <row r="207" spans="1:19" ht="21" customHeight="1">
      <c r="A207" s="406" t="s">
        <v>873</v>
      </c>
      <c r="B207" s="406"/>
      <c r="C207" s="406"/>
      <c r="D207" s="406"/>
      <c r="E207" s="406"/>
      <c r="F207" s="406"/>
      <c r="G207" s="406"/>
      <c r="H207" s="406"/>
      <c r="I207" s="406"/>
      <c r="J207" s="406"/>
      <c r="K207" s="406"/>
      <c r="L207" s="406"/>
      <c r="M207" s="406"/>
      <c r="N207" s="406"/>
      <c r="O207" s="406"/>
      <c r="P207" s="406"/>
      <c r="Q207" s="406"/>
      <c r="R207" s="139"/>
      <c r="S207" s="139"/>
    </row>
    <row r="208" spans="1:28" s="138" customFormat="1" ht="18.75" customHeight="1">
      <c r="A208" s="12">
        <f>A206+1</f>
        <v>44</v>
      </c>
      <c r="B208" s="97" t="s">
        <v>405</v>
      </c>
      <c r="C208" s="15" t="s">
        <v>406</v>
      </c>
      <c r="D208" s="162">
        <v>11</v>
      </c>
      <c r="E208" s="162">
        <v>11</v>
      </c>
      <c r="F208" s="162">
        <v>12</v>
      </c>
      <c r="G208" s="162">
        <v>12</v>
      </c>
      <c r="H208" s="162">
        <v>12</v>
      </c>
      <c r="I208" s="162">
        <f aca="true" t="shared" si="88" ref="I208:J211">H208*0.99</f>
        <v>11.879999999999999</v>
      </c>
      <c r="J208" s="163">
        <f t="shared" si="88"/>
        <v>11.761199999999999</v>
      </c>
      <c r="K208" s="166">
        <f aca="true" t="shared" si="89" ref="K208:Q211">D208*2.81</f>
        <v>30.91</v>
      </c>
      <c r="L208" s="167">
        <f t="shared" si="89"/>
        <v>30.91</v>
      </c>
      <c r="M208" s="167">
        <f t="shared" si="89"/>
        <v>33.72</v>
      </c>
      <c r="N208" s="167">
        <f t="shared" si="89"/>
        <v>33.72</v>
      </c>
      <c r="O208" s="167">
        <f t="shared" si="89"/>
        <v>33.72</v>
      </c>
      <c r="P208" s="167">
        <f t="shared" si="89"/>
        <v>33.382799999999996</v>
      </c>
      <c r="Q208" s="167">
        <f t="shared" si="89"/>
        <v>33.048972</v>
      </c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</row>
    <row r="209" spans="1:28" s="138" customFormat="1" ht="17.25" customHeight="1">
      <c r="A209" s="12">
        <f>A208+1</f>
        <v>45</v>
      </c>
      <c r="B209" s="97" t="s">
        <v>115</v>
      </c>
      <c r="C209" s="15" t="s">
        <v>116</v>
      </c>
      <c r="D209" s="162">
        <v>7</v>
      </c>
      <c r="E209" s="162">
        <v>7</v>
      </c>
      <c r="F209" s="162">
        <v>7</v>
      </c>
      <c r="G209" s="162">
        <v>7</v>
      </c>
      <c r="H209" s="162">
        <v>7</v>
      </c>
      <c r="I209" s="162">
        <f t="shared" si="88"/>
        <v>6.93</v>
      </c>
      <c r="J209" s="163">
        <f t="shared" si="88"/>
        <v>6.8607</v>
      </c>
      <c r="K209" s="166">
        <f t="shared" si="89"/>
        <v>19.67</v>
      </c>
      <c r="L209" s="167">
        <f t="shared" si="89"/>
        <v>19.67</v>
      </c>
      <c r="M209" s="167">
        <f t="shared" si="89"/>
        <v>19.67</v>
      </c>
      <c r="N209" s="167">
        <f t="shared" si="89"/>
        <v>19.67</v>
      </c>
      <c r="O209" s="167">
        <f t="shared" si="89"/>
        <v>19.67</v>
      </c>
      <c r="P209" s="167">
        <f t="shared" si="89"/>
        <v>19.4733</v>
      </c>
      <c r="Q209" s="167">
        <f t="shared" si="89"/>
        <v>19.278567</v>
      </c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</row>
    <row r="210" spans="1:17" s="137" customFormat="1" ht="19.5" customHeight="1">
      <c r="A210" s="12">
        <f>A209+1</f>
        <v>46</v>
      </c>
      <c r="B210" s="97" t="s">
        <v>142</v>
      </c>
      <c r="C210" s="15" t="s">
        <v>143</v>
      </c>
      <c r="D210" s="162">
        <v>33</v>
      </c>
      <c r="E210" s="162">
        <v>28</v>
      </c>
      <c r="F210" s="162">
        <v>27</v>
      </c>
      <c r="G210" s="162">
        <v>24</v>
      </c>
      <c r="H210" s="162">
        <v>24</v>
      </c>
      <c r="I210" s="162">
        <f t="shared" si="88"/>
        <v>23.759999999999998</v>
      </c>
      <c r="J210" s="163">
        <f t="shared" si="88"/>
        <v>23.522399999999998</v>
      </c>
      <c r="K210" s="166">
        <f t="shared" si="89"/>
        <v>92.73</v>
      </c>
      <c r="L210" s="167">
        <f t="shared" si="89"/>
        <v>78.68</v>
      </c>
      <c r="M210" s="167">
        <f t="shared" si="89"/>
        <v>75.87</v>
      </c>
      <c r="N210" s="167">
        <f t="shared" si="89"/>
        <v>67.44</v>
      </c>
      <c r="O210" s="167">
        <f t="shared" si="89"/>
        <v>67.44</v>
      </c>
      <c r="P210" s="167">
        <f t="shared" si="89"/>
        <v>66.76559999999999</v>
      </c>
      <c r="Q210" s="167">
        <f t="shared" si="89"/>
        <v>66.097944</v>
      </c>
    </row>
    <row r="211" spans="1:28" s="136" customFormat="1" ht="18.75" customHeight="1">
      <c r="A211" s="12">
        <f>A210+1</f>
        <v>47</v>
      </c>
      <c r="B211" s="97" t="s">
        <v>301</v>
      </c>
      <c r="C211" s="15" t="s">
        <v>302</v>
      </c>
      <c r="D211" s="162">
        <v>17</v>
      </c>
      <c r="E211" s="162">
        <v>17</v>
      </c>
      <c r="F211" s="162">
        <v>16</v>
      </c>
      <c r="G211" s="162">
        <v>16</v>
      </c>
      <c r="H211" s="162">
        <v>16</v>
      </c>
      <c r="I211" s="162">
        <f t="shared" si="88"/>
        <v>15.84</v>
      </c>
      <c r="J211" s="163">
        <f t="shared" si="88"/>
        <v>15.6816</v>
      </c>
      <c r="K211" s="166">
        <f t="shared" si="89"/>
        <v>47.77</v>
      </c>
      <c r="L211" s="167">
        <f t="shared" si="89"/>
        <v>47.77</v>
      </c>
      <c r="M211" s="167">
        <f t="shared" si="89"/>
        <v>44.96</v>
      </c>
      <c r="N211" s="167">
        <f t="shared" si="89"/>
        <v>44.96</v>
      </c>
      <c r="O211" s="167">
        <f t="shared" si="89"/>
        <v>44.96</v>
      </c>
      <c r="P211" s="167">
        <f t="shared" si="89"/>
        <v>44.5104</v>
      </c>
      <c r="Q211" s="167">
        <f t="shared" si="89"/>
        <v>44.065296</v>
      </c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</row>
    <row r="212" spans="1:19" ht="21" customHeight="1">
      <c r="A212" s="406" t="s">
        <v>30</v>
      </c>
      <c r="B212" s="406"/>
      <c r="C212" s="406"/>
      <c r="D212" s="406"/>
      <c r="E212" s="406"/>
      <c r="F212" s="406"/>
      <c r="G212" s="406"/>
      <c r="H212" s="406"/>
      <c r="I212" s="406"/>
      <c r="J212" s="406"/>
      <c r="K212" s="406"/>
      <c r="L212" s="406"/>
      <c r="M212" s="406"/>
      <c r="N212" s="406"/>
      <c r="O212" s="406"/>
      <c r="P212" s="406"/>
      <c r="Q212" s="406"/>
      <c r="R212" s="139"/>
      <c r="S212" s="139"/>
    </row>
    <row r="213" spans="1:28" s="138" customFormat="1" ht="18.75" customHeight="1">
      <c r="A213" s="12">
        <f>A211+1</f>
        <v>48</v>
      </c>
      <c r="B213" s="97" t="s">
        <v>273</v>
      </c>
      <c r="C213" s="29" t="s">
        <v>274</v>
      </c>
      <c r="D213" s="162">
        <v>28</v>
      </c>
      <c r="E213" s="162">
        <v>28</v>
      </c>
      <c r="F213" s="162">
        <v>28</v>
      </c>
      <c r="G213" s="162">
        <v>28</v>
      </c>
      <c r="H213" s="162">
        <v>28</v>
      </c>
      <c r="I213" s="162">
        <f aca="true" t="shared" si="90" ref="I213:J216">H213*0.99</f>
        <v>27.72</v>
      </c>
      <c r="J213" s="163">
        <f t="shared" si="90"/>
        <v>27.4428</v>
      </c>
      <c r="K213" s="165">
        <f aca="true" t="shared" si="91" ref="K213:Q216">D213*1.54</f>
        <v>43.120000000000005</v>
      </c>
      <c r="L213" s="164">
        <f t="shared" si="91"/>
        <v>43.120000000000005</v>
      </c>
      <c r="M213" s="164">
        <f t="shared" si="91"/>
        <v>43.120000000000005</v>
      </c>
      <c r="N213" s="164">
        <f t="shared" si="91"/>
        <v>43.120000000000005</v>
      </c>
      <c r="O213" s="164">
        <f t="shared" si="91"/>
        <v>43.120000000000005</v>
      </c>
      <c r="P213" s="164">
        <f t="shared" si="91"/>
        <v>42.6888</v>
      </c>
      <c r="Q213" s="164">
        <f t="shared" si="91"/>
        <v>42.261911999999995</v>
      </c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</row>
    <row r="214" spans="1:28" s="138" customFormat="1" ht="18.75" customHeight="1">
      <c r="A214" s="12">
        <f>A213+1</f>
        <v>49</v>
      </c>
      <c r="B214" s="97" t="s">
        <v>275</v>
      </c>
      <c r="C214" s="29" t="s">
        <v>276</v>
      </c>
      <c r="D214" s="162">
        <v>32</v>
      </c>
      <c r="E214" s="162">
        <v>32</v>
      </c>
      <c r="F214" s="162">
        <v>32</v>
      </c>
      <c r="G214" s="162">
        <v>32</v>
      </c>
      <c r="H214" s="162">
        <v>32</v>
      </c>
      <c r="I214" s="162">
        <f t="shared" si="90"/>
        <v>31.68</v>
      </c>
      <c r="J214" s="163">
        <f t="shared" si="90"/>
        <v>31.3632</v>
      </c>
      <c r="K214" s="165">
        <f t="shared" si="91"/>
        <v>49.28</v>
      </c>
      <c r="L214" s="164">
        <f t="shared" si="91"/>
        <v>49.28</v>
      </c>
      <c r="M214" s="164">
        <f t="shared" si="91"/>
        <v>49.28</v>
      </c>
      <c r="N214" s="164">
        <f t="shared" si="91"/>
        <v>49.28</v>
      </c>
      <c r="O214" s="164">
        <f t="shared" si="91"/>
        <v>49.28</v>
      </c>
      <c r="P214" s="164">
        <f t="shared" si="91"/>
        <v>48.7872</v>
      </c>
      <c r="Q214" s="164">
        <f t="shared" si="91"/>
        <v>48.299328</v>
      </c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</row>
    <row r="215" spans="1:28" s="138" customFormat="1" ht="30.75" customHeight="1">
      <c r="A215" s="12">
        <f aca="true" t="shared" si="92" ref="A215:A224">A214+1</f>
        <v>50</v>
      </c>
      <c r="B215" s="97" t="s">
        <v>1006</v>
      </c>
      <c r="C215" s="29" t="s">
        <v>1007</v>
      </c>
      <c r="D215" s="162">
        <v>2</v>
      </c>
      <c r="E215" s="162">
        <v>1</v>
      </c>
      <c r="F215" s="162">
        <v>1</v>
      </c>
      <c r="G215" s="162">
        <v>1</v>
      </c>
      <c r="H215" s="162">
        <v>2</v>
      </c>
      <c r="I215" s="162">
        <f t="shared" si="90"/>
        <v>1.98</v>
      </c>
      <c r="J215" s="163">
        <f t="shared" si="90"/>
        <v>1.9602</v>
      </c>
      <c r="K215" s="165">
        <f t="shared" si="91"/>
        <v>3.08</v>
      </c>
      <c r="L215" s="164">
        <f t="shared" si="91"/>
        <v>1.54</v>
      </c>
      <c r="M215" s="164">
        <f t="shared" si="91"/>
        <v>1.54</v>
      </c>
      <c r="N215" s="164">
        <f t="shared" si="91"/>
        <v>1.54</v>
      </c>
      <c r="O215" s="164">
        <f t="shared" si="91"/>
        <v>3.08</v>
      </c>
      <c r="P215" s="164">
        <f t="shared" si="91"/>
        <v>3.0492</v>
      </c>
      <c r="Q215" s="164">
        <f t="shared" si="91"/>
        <v>3.018708</v>
      </c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</row>
    <row r="216" spans="1:20" ht="18" customHeight="1">
      <c r="A216" s="12">
        <f t="shared" si="92"/>
        <v>51</v>
      </c>
      <c r="B216" s="97" t="s">
        <v>139</v>
      </c>
      <c r="C216" s="15" t="s">
        <v>1284</v>
      </c>
      <c r="D216" s="162">
        <v>33</v>
      </c>
      <c r="E216" s="162">
        <v>33</v>
      </c>
      <c r="F216" s="162">
        <v>31</v>
      </c>
      <c r="G216" s="162">
        <v>31</v>
      </c>
      <c r="H216" s="162">
        <v>31</v>
      </c>
      <c r="I216" s="162">
        <f t="shared" si="90"/>
        <v>30.69</v>
      </c>
      <c r="J216" s="163">
        <f t="shared" si="90"/>
        <v>30.383100000000002</v>
      </c>
      <c r="K216" s="165">
        <f t="shared" si="91"/>
        <v>50.82</v>
      </c>
      <c r="L216" s="164">
        <f t="shared" si="91"/>
        <v>50.82</v>
      </c>
      <c r="M216" s="164">
        <f t="shared" si="91"/>
        <v>47.74</v>
      </c>
      <c r="N216" s="164">
        <f t="shared" si="91"/>
        <v>47.74</v>
      </c>
      <c r="O216" s="164">
        <f t="shared" si="91"/>
        <v>47.74</v>
      </c>
      <c r="P216" s="164">
        <f t="shared" si="91"/>
        <v>47.262600000000006</v>
      </c>
      <c r="Q216" s="164">
        <f t="shared" si="91"/>
        <v>46.78997400000001</v>
      </c>
      <c r="R216" s="129"/>
      <c r="S216" s="129"/>
      <c r="T216" s="129"/>
    </row>
    <row r="217" spans="1:17" s="192" customFormat="1" ht="15.75">
      <c r="A217" s="12">
        <f t="shared" si="92"/>
        <v>52</v>
      </c>
      <c r="B217" s="114" t="s">
        <v>690</v>
      </c>
      <c r="C217" s="65" t="s">
        <v>691</v>
      </c>
      <c r="D217" s="195">
        <v>60</v>
      </c>
      <c r="E217" s="195">
        <v>60</v>
      </c>
      <c r="F217" s="195">
        <v>60</v>
      </c>
      <c r="G217" s="195">
        <v>60</v>
      </c>
      <c r="H217" s="195">
        <v>60</v>
      </c>
      <c r="I217" s="162">
        <f>H217*0.99</f>
        <v>59.4</v>
      </c>
      <c r="J217" s="163">
        <f>I217*0.99</f>
        <v>58.806</v>
      </c>
      <c r="K217" s="165">
        <f aca="true" t="shared" si="93" ref="K217:Q217">D217*1.54</f>
        <v>92.4</v>
      </c>
      <c r="L217" s="164">
        <f t="shared" si="93"/>
        <v>92.4</v>
      </c>
      <c r="M217" s="164">
        <f t="shared" si="93"/>
        <v>92.4</v>
      </c>
      <c r="N217" s="164">
        <f t="shared" si="93"/>
        <v>92.4</v>
      </c>
      <c r="O217" s="164">
        <f t="shared" si="93"/>
        <v>92.4</v>
      </c>
      <c r="P217" s="164">
        <f t="shared" si="93"/>
        <v>91.476</v>
      </c>
      <c r="Q217" s="164">
        <f t="shared" si="93"/>
        <v>90.56124</v>
      </c>
    </row>
    <row r="218" spans="1:17" s="191" customFormat="1" ht="15.75">
      <c r="A218" s="12">
        <f t="shared" si="92"/>
        <v>53</v>
      </c>
      <c r="B218" s="190" t="s">
        <v>684</v>
      </c>
      <c r="C218" s="193" t="s">
        <v>685</v>
      </c>
      <c r="D218" s="194">
        <v>30</v>
      </c>
      <c r="E218" s="194">
        <v>30</v>
      </c>
      <c r="F218" s="194">
        <v>30</v>
      </c>
      <c r="G218" s="194">
        <v>30</v>
      </c>
      <c r="H218" s="194">
        <v>30</v>
      </c>
      <c r="I218" s="162">
        <f aca="true" t="shared" si="94" ref="I218:J221">H218*0.99</f>
        <v>29.7</v>
      </c>
      <c r="J218" s="163">
        <f t="shared" si="94"/>
        <v>29.403</v>
      </c>
      <c r="K218" s="165">
        <f aca="true" t="shared" si="95" ref="K218:K224">D218*1.54</f>
        <v>46.2</v>
      </c>
      <c r="L218" s="164">
        <f aca="true" t="shared" si="96" ref="L218:Q221">E218*1.54</f>
        <v>46.2</v>
      </c>
      <c r="M218" s="164">
        <f t="shared" si="96"/>
        <v>46.2</v>
      </c>
      <c r="N218" s="164">
        <f t="shared" si="96"/>
        <v>46.2</v>
      </c>
      <c r="O218" s="164">
        <f t="shared" si="96"/>
        <v>46.2</v>
      </c>
      <c r="P218" s="164">
        <f t="shared" si="96"/>
        <v>45.738</v>
      </c>
      <c r="Q218" s="164">
        <f t="shared" si="96"/>
        <v>45.28062</v>
      </c>
    </row>
    <row r="219" spans="1:17" s="192" customFormat="1" ht="15.75">
      <c r="A219" s="12">
        <f t="shared" si="92"/>
        <v>54</v>
      </c>
      <c r="B219" s="114" t="s">
        <v>686</v>
      </c>
      <c r="C219" s="65" t="s">
        <v>687</v>
      </c>
      <c r="D219" s="195">
        <v>30</v>
      </c>
      <c r="E219" s="195">
        <v>30</v>
      </c>
      <c r="F219" s="195">
        <v>30</v>
      </c>
      <c r="G219" s="195">
        <v>30</v>
      </c>
      <c r="H219" s="195">
        <v>30</v>
      </c>
      <c r="I219" s="162">
        <f t="shared" si="94"/>
        <v>29.7</v>
      </c>
      <c r="J219" s="163">
        <f t="shared" si="94"/>
        <v>29.403</v>
      </c>
      <c r="K219" s="165">
        <f t="shared" si="95"/>
        <v>46.2</v>
      </c>
      <c r="L219" s="164">
        <f t="shared" si="96"/>
        <v>46.2</v>
      </c>
      <c r="M219" s="164">
        <f t="shared" si="96"/>
        <v>46.2</v>
      </c>
      <c r="N219" s="164">
        <f t="shared" si="96"/>
        <v>46.2</v>
      </c>
      <c r="O219" s="164">
        <f t="shared" si="96"/>
        <v>46.2</v>
      </c>
      <c r="P219" s="164">
        <f t="shared" si="96"/>
        <v>45.738</v>
      </c>
      <c r="Q219" s="164">
        <f t="shared" si="96"/>
        <v>45.28062</v>
      </c>
    </row>
    <row r="220" spans="1:17" s="192" customFormat="1" ht="15.75">
      <c r="A220" s="12">
        <f t="shared" si="92"/>
        <v>55</v>
      </c>
      <c r="B220" s="114" t="s">
        <v>688</v>
      </c>
      <c r="C220" s="65" t="s">
        <v>689</v>
      </c>
      <c r="D220" s="195">
        <v>180</v>
      </c>
      <c r="E220" s="195">
        <v>180</v>
      </c>
      <c r="F220" s="195">
        <v>150</v>
      </c>
      <c r="G220" s="195">
        <v>180</v>
      </c>
      <c r="H220" s="195">
        <v>180</v>
      </c>
      <c r="I220" s="162">
        <f t="shared" si="94"/>
        <v>178.2</v>
      </c>
      <c r="J220" s="163">
        <f t="shared" si="94"/>
        <v>176.41799999999998</v>
      </c>
      <c r="K220" s="165">
        <f t="shared" si="95"/>
        <v>277.2</v>
      </c>
      <c r="L220" s="164">
        <f t="shared" si="96"/>
        <v>277.2</v>
      </c>
      <c r="M220" s="164">
        <f t="shared" si="96"/>
        <v>231</v>
      </c>
      <c r="N220" s="164">
        <f t="shared" si="96"/>
        <v>277.2</v>
      </c>
      <c r="O220" s="164">
        <f t="shared" si="96"/>
        <v>277.2</v>
      </c>
      <c r="P220" s="164">
        <f t="shared" si="96"/>
        <v>274.428</v>
      </c>
      <c r="Q220" s="164">
        <f t="shared" si="96"/>
        <v>271.68372</v>
      </c>
    </row>
    <row r="221" spans="1:17" s="192" customFormat="1" ht="15.75">
      <c r="A221" s="12">
        <f t="shared" si="92"/>
        <v>56</v>
      </c>
      <c r="B221" s="114" t="s">
        <v>692</v>
      </c>
      <c r="C221" s="65" t="s">
        <v>693</v>
      </c>
      <c r="D221" s="195">
        <v>30</v>
      </c>
      <c r="E221" s="195">
        <v>30</v>
      </c>
      <c r="F221" s="195">
        <v>30</v>
      </c>
      <c r="G221" s="195">
        <v>30</v>
      </c>
      <c r="H221" s="195">
        <v>30</v>
      </c>
      <c r="I221" s="162">
        <f t="shared" si="94"/>
        <v>29.7</v>
      </c>
      <c r="J221" s="163">
        <f t="shared" si="94"/>
        <v>29.403</v>
      </c>
      <c r="K221" s="165">
        <f t="shared" si="95"/>
        <v>46.2</v>
      </c>
      <c r="L221" s="164">
        <f t="shared" si="96"/>
        <v>46.2</v>
      </c>
      <c r="M221" s="164">
        <f t="shared" si="96"/>
        <v>46.2</v>
      </c>
      <c r="N221" s="164">
        <f t="shared" si="96"/>
        <v>46.2</v>
      </c>
      <c r="O221" s="164">
        <f t="shared" si="96"/>
        <v>46.2</v>
      </c>
      <c r="P221" s="164">
        <f t="shared" si="96"/>
        <v>45.738</v>
      </c>
      <c r="Q221" s="164">
        <f t="shared" si="96"/>
        <v>45.28062</v>
      </c>
    </row>
    <row r="222" spans="1:28" s="138" customFormat="1" ht="18.75" customHeight="1">
      <c r="A222" s="12">
        <f t="shared" si="92"/>
        <v>57</v>
      </c>
      <c r="B222" s="142" t="s">
        <v>512</v>
      </c>
      <c r="C222" s="64" t="s">
        <v>513</v>
      </c>
      <c r="D222" s="162">
        <v>5</v>
      </c>
      <c r="E222" s="162" t="s">
        <v>556</v>
      </c>
      <c r="F222" s="162" t="s">
        <v>556</v>
      </c>
      <c r="G222" s="162" t="s">
        <v>556</v>
      </c>
      <c r="H222" s="162" t="s">
        <v>556</v>
      </c>
      <c r="I222" s="162" t="s">
        <v>556</v>
      </c>
      <c r="J222" s="163" t="s">
        <v>556</v>
      </c>
      <c r="K222" s="165">
        <f>D222*1.54</f>
        <v>7.7</v>
      </c>
      <c r="L222" s="162" t="s">
        <v>556</v>
      </c>
      <c r="M222" s="162" t="s">
        <v>556</v>
      </c>
      <c r="N222" s="162" t="s">
        <v>556</v>
      </c>
      <c r="O222" s="162" t="s">
        <v>556</v>
      </c>
      <c r="P222" s="162" t="s">
        <v>556</v>
      </c>
      <c r="Q222" s="162" t="s">
        <v>556</v>
      </c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</row>
    <row r="223" spans="1:28" s="144" customFormat="1" ht="32.25" customHeight="1">
      <c r="A223" s="12">
        <f t="shared" si="92"/>
        <v>58</v>
      </c>
      <c r="B223" s="97" t="s">
        <v>277</v>
      </c>
      <c r="C223" s="29" t="s">
        <v>278</v>
      </c>
      <c r="D223" s="162">
        <v>3</v>
      </c>
      <c r="E223" s="162">
        <v>3</v>
      </c>
      <c r="F223" s="162">
        <v>3</v>
      </c>
      <c r="G223" s="162">
        <v>3</v>
      </c>
      <c r="H223" s="162">
        <v>3</v>
      </c>
      <c r="I223" s="162">
        <f>H223*0.99</f>
        <v>2.9699999999999998</v>
      </c>
      <c r="J223" s="163">
        <f>I223*0.99</f>
        <v>2.9402999999999997</v>
      </c>
      <c r="K223" s="165">
        <f t="shared" si="95"/>
        <v>4.62</v>
      </c>
      <c r="L223" s="164">
        <f aca="true" t="shared" si="97" ref="L223:Q223">E223*1.54</f>
        <v>4.62</v>
      </c>
      <c r="M223" s="164">
        <f t="shared" si="97"/>
        <v>4.62</v>
      </c>
      <c r="N223" s="164">
        <f t="shared" si="97"/>
        <v>4.62</v>
      </c>
      <c r="O223" s="164">
        <f t="shared" si="97"/>
        <v>4.62</v>
      </c>
      <c r="P223" s="164">
        <f t="shared" si="97"/>
        <v>4.573799999999999</v>
      </c>
      <c r="Q223" s="164">
        <f t="shared" si="97"/>
        <v>4.528061999999999</v>
      </c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</row>
    <row r="224" spans="1:28" s="138" customFormat="1" ht="18.75" customHeight="1">
      <c r="A224" s="12">
        <f t="shared" si="92"/>
        <v>59</v>
      </c>
      <c r="B224" s="97" t="s">
        <v>286</v>
      </c>
      <c r="C224" s="29" t="s">
        <v>287</v>
      </c>
      <c r="D224" s="162">
        <v>1</v>
      </c>
      <c r="E224" s="162" t="s">
        <v>556</v>
      </c>
      <c r="F224" s="162" t="s">
        <v>556</v>
      </c>
      <c r="G224" s="162" t="s">
        <v>556</v>
      </c>
      <c r="H224" s="162" t="s">
        <v>556</v>
      </c>
      <c r="I224" s="162" t="s">
        <v>556</v>
      </c>
      <c r="J224" s="163" t="s">
        <v>556</v>
      </c>
      <c r="K224" s="165">
        <f t="shared" si="95"/>
        <v>1.54</v>
      </c>
      <c r="L224" s="162" t="s">
        <v>556</v>
      </c>
      <c r="M224" s="162" t="s">
        <v>556</v>
      </c>
      <c r="N224" s="162" t="s">
        <v>556</v>
      </c>
      <c r="O224" s="162" t="s">
        <v>556</v>
      </c>
      <c r="P224" s="162" t="s">
        <v>556</v>
      </c>
      <c r="Q224" s="162" t="s">
        <v>556</v>
      </c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</row>
    <row r="225" spans="1:51" s="138" customFormat="1" ht="8.25" customHeight="1">
      <c r="A225" s="36"/>
      <c r="B225" s="110"/>
      <c r="C225" s="67"/>
      <c r="D225" s="168"/>
      <c r="E225" s="168"/>
      <c r="F225" s="168"/>
      <c r="G225" s="168"/>
      <c r="H225" s="168"/>
      <c r="I225" s="168"/>
      <c r="J225" s="168"/>
      <c r="K225" s="169"/>
      <c r="L225" s="169"/>
      <c r="M225" s="169"/>
      <c r="N225" s="169"/>
      <c r="O225" s="169"/>
      <c r="P225" s="169"/>
      <c r="Q225" s="169"/>
      <c r="R225" s="39"/>
      <c r="S225" s="39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</row>
    <row r="226" spans="1:51" s="138" customFormat="1" ht="38.25" customHeight="1">
      <c r="A226" s="403" t="s">
        <v>407</v>
      </c>
      <c r="B226" s="404"/>
      <c r="C226" s="405"/>
      <c r="D226" s="170">
        <f aca="true" t="shared" si="98" ref="D226:Q226">SUM(D159:D167,D169:D170,D172:D185,D187:D190,D192:D198,D200:D206,D208:D211,D213:D224)</f>
        <v>1181</v>
      </c>
      <c r="E226" s="170">
        <f t="shared" si="98"/>
        <v>1181</v>
      </c>
      <c r="F226" s="170">
        <f t="shared" si="98"/>
        <v>1126</v>
      </c>
      <c r="G226" s="170">
        <f t="shared" si="98"/>
        <v>1139</v>
      </c>
      <c r="H226" s="170">
        <f t="shared" si="98"/>
        <v>1141</v>
      </c>
      <c r="I226" s="170">
        <f t="shared" si="98"/>
        <v>1129.5900000000001</v>
      </c>
      <c r="J226" s="170">
        <f t="shared" si="98"/>
        <v>1118.2941</v>
      </c>
      <c r="K226" s="170">
        <f t="shared" si="98"/>
        <v>2014.9899999999996</v>
      </c>
      <c r="L226" s="170">
        <f t="shared" si="98"/>
        <v>2016.75</v>
      </c>
      <c r="M226" s="170">
        <f t="shared" si="98"/>
        <v>1953.1599999999996</v>
      </c>
      <c r="N226" s="170">
        <f t="shared" si="98"/>
        <v>1970.6</v>
      </c>
      <c r="O226" s="170">
        <f t="shared" si="98"/>
        <v>1978.5299999999997</v>
      </c>
      <c r="P226" s="170">
        <f t="shared" si="98"/>
        <v>1958.7446999999997</v>
      </c>
      <c r="Q226" s="170">
        <f t="shared" si="98"/>
        <v>1939.1572529999999</v>
      </c>
      <c r="R226" s="39"/>
      <c r="S226" s="39"/>
      <c r="T226" s="120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</row>
    <row r="227" spans="1:20" s="137" customFormat="1" ht="9.75" customHeight="1">
      <c r="A227" s="89"/>
      <c r="B227" s="113"/>
      <c r="C227" s="127"/>
      <c r="D227" s="173"/>
      <c r="E227" s="173"/>
      <c r="F227" s="173"/>
      <c r="G227" s="173"/>
      <c r="H227" s="173"/>
      <c r="I227" s="173"/>
      <c r="J227" s="173"/>
      <c r="K227" s="174"/>
      <c r="L227" s="174"/>
      <c r="M227" s="174"/>
      <c r="N227" s="174"/>
      <c r="O227" s="174"/>
      <c r="P227" s="174"/>
      <c r="Q227" s="174"/>
      <c r="R227" s="36"/>
      <c r="S227" s="36"/>
      <c r="T227" s="120"/>
    </row>
    <row r="228" spans="1:191" s="10" customFormat="1" ht="30" customHeight="1">
      <c r="A228" s="409" t="s">
        <v>37</v>
      </c>
      <c r="B228" s="409"/>
      <c r="C228" s="409"/>
      <c r="D228" s="409"/>
      <c r="E228" s="409"/>
      <c r="F228" s="409"/>
      <c r="G228" s="409"/>
      <c r="H228" s="409"/>
      <c r="I228" s="409"/>
      <c r="J228" s="409"/>
      <c r="K228" s="409"/>
      <c r="L228" s="409"/>
      <c r="M228" s="409"/>
      <c r="N228" s="409"/>
      <c r="O228" s="409"/>
      <c r="P228" s="409"/>
      <c r="Q228" s="409"/>
      <c r="R228" s="68"/>
      <c r="S228" s="68"/>
      <c r="T228" s="32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36"/>
      <c r="DQ228" s="36"/>
      <c r="DR228" s="36"/>
      <c r="DS228" s="36"/>
      <c r="DT228" s="36"/>
      <c r="DU228" s="36"/>
      <c r="DV228" s="36"/>
      <c r="DW228" s="36"/>
      <c r="DX228" s="36"/>
      <c r="DY228" s="36"/>
      <c r="DZ228" s="36"/>
      <c r="EA228" s="36"/>
      <c r="EB228" s="36"/>
      <c r="EC228" s="36"/>
      <c r="ED228" s="36"/>
      <c r="EE228" s="36"/>
      <c r="EF228" s="36"/>
      <c r="EG228" s="36"/>
      <c r="EH228" s="36"/>
      <c r="EI228" s="36"/>
      <c r="EJ228" s="36"/>
      <c r="EK228" s="36"/>
      <c r="EL228" s="36"/>
      <c r="EM228" s="36"/>
      <c r="EN228" s="36"/>
      <c r="EO228" s="36"/>
      <c r="EP228" s="36"/>
      <c r="EQ228" s="36"/>
      <c r="ER228" s="36"/>
      <c r="ES228" s="36"/>
      <c r="ET228" s="36"/>
      <c r="EU228" s="36"/>
      <c r="EV228" s="36"/>
      <c r="EW228" s="36"/>
      <c r="EX228" s="36"/>
      <c r="EY228" s="36"/>
      <c r="EZ228" s="36"/>
      <c r="FA228" s="36"/>
      <c r="FB228" s="36"/>
      <c r="FC228" s="36"/>
      <c r="FD228" s="36"/>
      <c r="FE228" s="36"/>
      <c r="FF228" s="36"/>
      <c r="FG228" s="36"/>
      <c r="FH228" s="36"/>
      <c r="FI228" s="36"/>
      <c r="FJ228" s="36"/>
      <c r="FK228" s="36"/>
      <c r="FL228" s="36"/>
      <c r="FM228" s="36"/>
      <c r="FN228" s="36"/>
      <c r="FO228" s="36"/>
      <c r="FP228" s="36"/>
      <c r="FQ228" s="36"/>
      <c r="FR228" s="36"/>
      <c r="FS228" s="36"/>
      <c r="FT228" s="36"/>
      <c r="FU228" s="36"/>
      <c r="FV228" s="36"/>
      <c r="FW228" s="36"/>
      <c r="FX228" s="36"/>
      <c r="FY228" s="36"/>
      <c r="FZ228" s="36"/>
      <c r="GA228" s="36"/>
      <c r="GB228" s="36"/>
      <c r="GC228" s="36"/>
      <c r="GD228" s="36"/>
      <c r="GE228" s="36"/>
      <c r="GF228" s="36"/>
      <c r="GG228" s="36"/>
      <c r="GH228" s="36"/>
      <c r="GI228" s="36"/>
    </row>
    <row r="229" spans="1:19" ht="18" customHeight="1">
      <c r="A229" s="406" t="s">
        <v>729</v>
      </c>
      <c r="B229" s="406"/>
      <c r="C229" s="406"/>
      <c r="D229" s="406"/>
      <c r="E229" s="406"/>
      <c r="F229" s="406"/>
      <c r="G229" s="406"/>
      <c r="H229" s="406"/>
      <c r="I229" s="406"/>
      <c r="J229" s="406"/>
      <c r="K229" s="406"/>
      <c r="L229" s="406"/>
      <c r="M229" s="406"/>
      <c r="N229" s="406"/>
      <c r="O229" s="406"/>
      <c r="P229" s="406"/>
      <c r="Q229" s="406"/>
      <c r="R229" s="139"/>
      <c r="S229" s="139"/>
    </row>
    <row r="230" spans="1:28" s="144" customFormat="1" ht="18" customHeight="1">
      <c r="A230" s="126">
        <v>1</v>
      </c>
      <c r="B230" s="97" t="s">
        <v>867</v>
      </c>
      <c r="C230" s="15" t="s">
        <v>868</v>
      </c>
      <c r="D230" s="162">
        <v>6</v>
      </c>
      <c r="E230" s="162">
        <v>3</v>
      </c>
      <c r="F230" s="162">
        <v>2</v>
      </c>
      <c r="G230" s="162">
        <v>1</v>
      </c>
      <c r="H230" s="162">
        <f>1</f>
        <v>1</v>
      </c>
      <c r="I230" s="162">
        <f>H230*0.99</f>
        <v>0.99</v>
      </c>
      <c r="J230" s="163">
        <f aca="true" t="shared" si="99" ref="I230:J237">I230*0.99</f>
        <v>0.9801</v>
      </c>
      <c r="K230" s="178"/>
      <c r="L230" s="175"/>
      <c r="M230" s="175"/>
      <c r="N230" s="175"/>
      <c r="O230" s="175"/>
      <c r="P230" s="175"/>
      <c r="Q230" s="175"/>
      <c r="R230" s="143"/>
      <c r="S230" s="143"/>
      <c r="T230" s="143"/>
      <c r="U230" s="143"/>
      <c r="V230" s="143"/>
      <c r="W230" s="143"/>
      <c r="X230" s="143"/>
      <c r="Y230" s="143"/>
      <c r="Z230" s="143"/>
      <c r="AA230" s="143"/>
      <c r="AB230" s="143"/>
    </row>
    <row r="231" spans="1:17" s="145" customFormat="1" ht="15.75">
      <c r="A231" s="126">
        <f aca="true" t="shared" si="100" ref="A231:A243">A230+1</f>
        <v>2</v>
      </c>
      <c r="B231" s="97" t="s">
        <v>123</v>
      </c>
      <c r="C231" s="66" t="s">
        <v>712</v>
      </c>
      <c r="D231" s="326">
        <v>40</v>
      </c>
      <c r="E231" s="326">
        <v>40</v>
      </c>
      <c r="F231" s="326">
        <v>40</v>
      </c>
      <c r="G231" s="326">
        <v>41</v>
      </c>
      <c r="H231" s="326">
        <v>41</v>
      </c>
      <c r="I231" s="162">
        <f>H231*0.99</f>
        <v>40.589999999999996</v>
      </c>
      <c r="J231" s="163">
        <f>I231*0.99</f>
        <v>40.184099999999994</v>
      </c>
      <c r="K231" s="178"/>
      <c r="L231" s="175"/>
      <c r="M231" s="175"/>
      <c r="N231" s="175"/>
      <c r="O231" s="175"/>
      <c r="P231" s="175"/>
      <c r="Q231" s="175"/>
    </row>
    <row r="232" spans="1:28" s="144" customFormat="1" ht="18" customHeight="1">
      <c r="A232" s="126">
        <f t="shared" si="100"/>
        <v>3</v>
      </c>
      <c r="B232" s="97" t="s">
        <v>262</v>
      </c>
      <c r="C232" s="66" t="s">
        <v>1358</v>
      </c>
      <c r="D232" s="162">
        <v>5</v>
      </c>
      <c r="E232" s="162">
        <v>1</v>
      </c>
      <c r="F232" s="162">
        <v>1</v>
      </c>
      <c r="G232" s="162">
        <v>2</v>
      </c>
      <c r="H232" s="162">
        <v>1</v>
      </c>
      <c r="I232" s="162">
        <f t="shared" si="99"/>
        <v>0.99</v>
      </c>
      <c r="J232" s="163">
        <f t="shared" si="99"/>
        <v>0.9801</v>
      </c>
      <c r="K232" s="178"/>
      <c r="L232" s="175"/>
      <c r="M232" s="175"/>
      <c r="N232" s="175"/>
      <c r="O232" s="175"/>
      <c r="P232" s="175"/>
      <c r="Q232" s="175"/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143"/>
    </row>
    <row r="233" spans="1:28" s="144" customFormat="1" ht="15.75" customHeight="1">
      <c r="A233" s="126">
        <f t="shared" si="100"/>
        <v>4</v>
      </c>
      <c r="B233" s="97" t="s">
        <v>642</v>
      </c>
      <c r="C233" s="66" t="s">
        <v>643</v>
      </c>
      <c r="D233" s="162">
        <v>1</v>
      </c>
      <c r="E233" s="162">
        <v>1</v>
      </c>
      <c r="F233" s="162">
        <v>1</v>
      </c>
      <c r="G233" s="162">
        <v>1</v>
      </c>
      <c r="H233" s="162">
        <v>1</v>
      </c>
      <c r="I233" s="162">
        <f t="shared" si="99"/>
        <v>0.99</v>
      </c>
      <c r="J233" s="163">
        <f t="shared" si="99"/>
        <v>0.9801</v>
      </c>
      <c r="K233" s="178"/>
      <c r="L233" s="175"/>
      <c r="M233" s="175"/>
      <c r="N233" s="175"/>
      <c r="O233" s="175"/>
      <c r="P233" s="175"/>
      <c r="Q233" s="175"/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</row>
    <row r="234" spans="1:28" s="144" customFormat="1" ht="31.5" customHeight="1">
      <c r="A234" s="126">
        <f t="shared" si="100"/>
        <v>5</v>
      </c>
      <c r="B234" s="97" t="s">
        <v>884</v>
      </c>
      <c r="C234" s="15" t="s">
        <v>885</v>
      </c>
      <c r="D234" s="162">
        <v>1</v>
      </c>
      <c r="E234" s="162">
        <v>1</v>
      </c>
      <c r="F234" s="162">
        <v>1</v>
      </c>
      <c r="G234" s="162">
        <v>1</v>
      </c>
      <c r="H234" s="162">
        <v>1</v>
      </c>
      <c r="I234" s="162">
        <f t="shared" si="99"/>
        <v>0.99</v>
      </c>
      <c r="J234" s="163">
        <f t="shared" si="99"/>
        <v>0.9801</v>
      </c>
      <c r="K234" s="178"/>
      <c r="L234" s="175"/>
      <c r="M234" s="175"/>
      <c r="N234" s="175"/>
      <c r="O234" s="175"/>
      <c r="P234" s="175"/>
      <c r="Q234" s="175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</row>
    <row r="235" spans="1:28" s="144" customFormat="1" ht="30.75" customHeight="1">
      <c r="A235" s="126">
        <f t="shared" si="100"/>
        <v>6</v>
      </c>
      <c r="B235" s="97" t="s">
        <v>746</v>
      </c>
      <c r="C235" s="15" t="s">
        <v>747</v>
      </c>
      <c r="D235" s="162">
        <f>1+7</f>
        <v>8</v>
      </c>
      <c r="E235" s="162">
        <f>1+4</f>
        <v>5</v>
      </c>
      <c r="F235" s="162">
        <f>1+4</f>
        <v>5</v>
      </c>
      <c r="G235" s="162">
        <f>1+2</f>
        <v>3</v>
      </c>
      <c r="H235" s="162">
        <f>1+2</f>
        <v>3</v>
      </c>
      <c r="I235" s="162">
        <f t="shared" si="99"/>
        <v>2.9699999999999998</v>
      </c>
      <c r="J235" s="163">
        <f t="shared" si="99"/>
        <v>2.9402999999999997</v>
      </c>
      <c r="K235" s="178"/>
      <c r="L235" s="175"/>
      <c r="M235" s="175"/>
      <c r="N235" s="175"/>
      <c r="O235" s="175"/>
      <c r="P235" s="175"/>
      <c r="Q235" s="175"/>
      <c r="R235" s="143"/>
      <c r="S235" s="143"/>
      <c r="T235" s="143"/>
      <c r="U235" s="143"/>
      <c r="V235" s="143"/>
      <c r="W235" s="143"/>
      <c r="X235" s="143"/>
      <c r="Y235" s="143"/>
      <c r="Z235" s="143"/>
      <c r="AA235" s="143"/>
      <c r="AB235" s="143"/>
    </row>
    <row r="236" spans="1:28" s="144" customFormat="1" ht="31.5" customHeight="1">
      <c r="A236" s="126">
        <f t="shared" si="100"/>
        <v>7</v>
      </c>
      <c r="B236" s="105" t="s">
        <v>864</v>
      </c>
      <c r="C236" s="15" t="s">
        <v>865</v>
      </c>
      <c r="D236" s="162">
        <v>2</v>
      </c>
      <c r="E236" s="162">
        <f>1+1</f>
        <v>2</v>
      </c>
      <c r="F236" s="162">
        <v>1</v>
      </c>
      <c r="G236" s="162">
        <v>1</v>
      </c>
      <c r="H236" s="162">
        <v>1</v>
      </c>
      <c r="I236" s="162">
        <f t="shared" si="99"/>
        <v>0.99</v>
      </c>
      <c r="J236" s="163">
        <f t="shared" si="99"/>
        <v>0.9801</v>
      </c>
      <c r="K236" s="178"/>
      <c r="L236" s="175"/>
      <c r="M236" s="175"/>
      <c r="N236" s="175"/>
      <c r="O236" s="175"/>
      <c r="P236" s="175"/>
      <c r="Q236" s="175"/>
      <c r="R236" s="143"/>
      <c r="S236" s="143"/>
      <c r="T236" s="143"/>
      <c r="U236" s="143"/>
      <c r="V236" s="143"/>
      <c r="W236" s="143"/>
      <c r="X236" s="143"/>
      <c r="Y236" s="143"/>
      <c r="Z236" s="143"/>
      <c r="AA236" s="143"/>
      <c r="AB236" s="143"/>
    </row>
    <row r="237" spans="1:28" s="144" customFormat="1" ht="16.5" customHeight="1">
      <c r="A237" s="126">
        <f t="shared" si="100"/>
        <v>8</v>
      </c>
      <c r="B237" s="97" t="s">
        <v>869</v>
      </c>
      <c r="C237" s="15" t="s">
        <v>870</v>
      </c>
      <c r="D237" s="162">
        <f>19-15</f>
        <v>4</v>
      </c>
      <c r="E237" s="162">
        <f>13+1-10</f>
        <v>4</v>
      </c>
      <c r="F237" s="162">
        <v>3</v>
      </c>
      <c r="G237" s="162">
        <v>1</v>
      </c>
      <c r="H237" s="162">
        <v>1</v>
      </c>
      <c r="I237" s="162">
        <f t="shared" si="99"/>
        <v>0.99</v>
      </c>
      <c r="J237" s="163">
        <f t="shared" si="99"/>
        <v>0.9801</v>
      </c>
      <c r="K237" s="178"/>
      <c r="L237" s="175"/>
      <c r="M237" s="175"/>
      <c r="N237" s="175"/>
      <c r="O237" s="175"/>
      <c r="P237" s="175"/>
      <c r="Q237" s="175"/>
      <c r="R237" s="143"/>
      <c r="S237" s="143"/>
      <c r="T237" s="143"/>
      <c r="U237" s="143"/>
      <c r="V237" s="143"/>
      <c r="W237" s="143"/>
      <c r="X237" s="143"/>
      <c r="Y237" s="143"/>
      <c r="Z237" s="143"/>
      <c r="AA237" s="143"/>
      <c r="AB237" s="143"/>
    </row>
    <row r="238" spans="1:28" s="144" customFormat="1" ht="16.5" customHeight="1">
      <c r="A238" s="126">
        <f t="shared" si="100"/>
        <v>9</v>
      </c>
      <c r="B238" s="97" t="s">
        <v>771</v>
      </c>
      <c r="C238" s="66" t="s">
        <v>772</v>
      </c>
      <c r="D238" s="162">
        <v>1</v>
      </c>
      <c r="E238" s="162" t="s">
        <v>556</v>
      </c>
      <c r="F238" s="162" t="s">
        <v>556</v>
      </c>
      <c r="G238" s="162" t="s">
        <v>556</v>
      </c>
      <c r="H238" s="162" t="s">
        <v>556</v>
      </c>
      <c r="I238" s="162" t="s">
        <v>556</v>
      </c>
      <c r="J238" s="163" t="s">
        <v>556</v>
      </c>
      <c r="K238" s="178"/>
      <c r="L238" s="175"/>
      <c r="M238" s="175"/>
      <c r="N238" s="175"/>
      <c r="O238" s="175"/>
      <c r="P238" s="175"/>
      <c r="Q238" s="175"/>
      <c r="R238" s="143"/>
      <c r="S238" s="143"/>
      <c r="T238" s="143"/>
      <c r="U238" s="143"/>
      <c r="V238" s="143"/>
      <c r="W238" s="143"/>
      <c r="X238" s="143"/>
      <c r="Y238" s="143"/>
      <c r="Z238" s="143"/>
      <c r="AA238" s="143"/>
      <c r="AB238" s="143"/>
    </row>
    <row r="239" spans="1:28" s="144" customFormat="1" ht="16.5" customHeight="1">
      <c r="A239" s="126">
        <f t="shared" si="100"/>
        <v>10</v>
      </c>
      <c r="B239" s="97" t="s">
        <v>807</v>
      </c>
      <c r="C239" s="15" t="s">
        <v>810</v>
      </c>
      <c r="D239" s="162">
        <f>14-8+10+1-1</f>
        <v>16</v>
      </c>
      <c r="E239" s="162">
        <f>13+1-8+6+1-1</f>
        <v>12</v>
      </c>
      <c r="F239" s="162">
        <f>3+1</f>
        <v>4</v>
      </c>
      <c r="G239" s="162">
        <f>1+1+1</f>
        <v>3</v>
      </c>
      <c r="H239" s="162">
        <v>1</v>
      </c>
      <c r="I239" s="162">
        <f aca="true" t="shared" si="101" ref="I239:J243">H239*0.99</f>
        <v>0.99</v>
      </c>
      <c r="J239" s="163">
        <f t="shared" si="101"/>
        <v>0.9801</v>
      </c>
      <c r="K239" s="178"/>
      <c r="L239" s="175"/>
      <c r="M239" s="175"/>
      <c r="N239" s="175"/>
      <c r="O239" s="175"/>
      <c r="P239" s="175"/>
      <c r="Q239" s="175"/>
      <c r="R239" s="143"/>
      <c r="S239" s="143"/>
      <c r="T239" s="143"/>
      <c r="U239" s="143"/>
      <c r="V239" s="143"/>
      <c r="W239" s="143"/>
      <c r="X239" s="143"/>
      <c r="Y239" s="143"/>
      <c r="Z239" s="143"/>
      <c r="AA239" s="143"/>
      <c r="AB239" s="143"/>
    </row>
    <row r="240" spans="1:17" s="145" customFormat="1" ht="15.75">
      <c r="A240" s="126">
        <f t="shared" si="100"/>
        <v>11</v>
      </c>
      <c r="B240" s="97" t="s">
        <v>124</v>
      </c>
      <c r="C240" s="66" t="s">
        <v>713</v>
      </c>
      <c r="D240" s="326">
        <v>42</v>
      </c>
      <c r="E240" s="326">
        <v>42</v>
      </c>
      <c r="F240" s="326">
        <v>42</v>
      </c>
      <c r="G240" s="326">
        <v>42</v>
      </c>
      <c r="H240" s="326">
        <v>42</v>
      </c>
      <c r="I240" s="162">
        <f t="shared" si="101"/>
        <v>41.58</v>
      </c>
      <c r="J240" s="163">
        <f t="shared" si="101"/>
        <v>41.1642</v>
      </c>
      <c r="K240" s="178"/>
      <c r="L240" s="175"/>
      <c r="M240" s="175"/>
      <c r="N240" s="175"/>
      <c r="O240" s="175"/>
      <c r="P240" s="175"/>
      <c r="Q240" s="175"/>
    </row>
    <row r="241" spans="1:17" s="145" customFormat="1" ht="15.75">
      <c r="A241" s="126">
        <f t="shared" si="100"/>
        <v>12</v>
      </c>
      <c r="B241" s="97" t="s">
        <v>125</v>
      </c>
      <c r="C241" s="66" t="s">
        <v>726</v>
      </c>
      <c r="D241" s="326">
        <v>95</v>
      </c>
      <c r="E241" s="326">
        <v>95</v>
      </c>
      <c r="F241" s="326">
        <v>95</v>
      </c>
      <c r="G241" s="326">
        <v>95</v>
      </c>
      <c r="H241" s="326">
        <v>95</v>
      </c>
      <c r="I241" s="162">
        <f t="shared" si="101"/>
        <v>94.05</v>
      </c>
      <c r="J241" s="163">
        <f t="shared" si="101"/>
        <v>93.1095</v>
      </c>
      <c r="K241" s="178"/>
      <c r="L241" s="175"/>
      <c r="M241" s="175"/>
      <c r="N241" s="175"/>
      <c r="O241" s="175"/>
      <c r="P241" s="175"/>
      <c r="Q241" s="175"/>
    </row>
    <row r="242" spans="1:17" s="145" customFormat="1" ht="15.75">
      <c r="A242" s="126">
        <f t="shared" si="100"/>
        <v>13</v>
      </c>
      <c r="B242" s="97" t="s">
        <v>126</v>
      </c>
      <c r="C242" s="66" t="s">
        <v>727</v>
      </c>
      <c r="D242" s="326">
        <v>33</v>
      </c>
      <c r="E242" s="326">
        <v>33</v>
      </c>
      <c r="F242" s="326">
        <v>33</v>
      </c>
      <c r="G242" s="326">
        <v>34</v>
      </c>
      <c r="H242" s="326">
        <v>34</v>
      </c>
      <c r="I242" s="162">
        <f t="shared" si="101"/>
        <v>33.66</v>
      </c>
      <c r="J242" s="163">
        <f t="shared" si="101"/>
        <v>33.3234</v>
      </c>
      <c r="K242" s="178"/>
      <c r="L242" s="175"/>
      <c r="M242" s="175"/>
      <c r="N242" s="175"/>
      <c r="O242" s="175"/>
      <c r="P242" s="175"/>
      <c r="Q242" s="175"/>
    </row>
    <row r="243" spans="1:17" s="145" customFormat="1" ht="30">
      <c r="A243" s="126">
        <f t="shared" si="100"/>
        <v>14</v>
      </c>
      <c r="B243" s="97" t="s">
        <v>127</v>
      </c>
      <c r="C243" s="66" t="s">
        <v>896</v>
      </c>
      <c r="D243" s="326">
        <f>129-1</f>
        <v>128</v>
      </c>
      <c r="E243" s="326">
        <f>129-1</f>
        <v>128</v>
      </c>
      <c r="F243" s="326">
        <f>131-2</f>
        <v>129</v>
      </c>
      <c r="G243" s="326">
        <v>128</v>
      </c>
      <c r="H243" s="326">
        <v>128</v>
      </c>
      <c r="I243" s="162">
        <f t="shared" si="101"/>
        <v>126.72</v>
      </c>
      <c r="J243" s="163">
        <f t="shared" si="101"/>
        <v>125.4528</v>
      </c>
      <c r="K243" s="178"/>
      <c r="L243" s="175"/>
      <c r="M243" s="175"/>
      <c r="N243" s="175"/>
      <c r="O243" s="175"/>
      <c r="P243" s="175"/>
      <c r="Q243" s="175"/>
    </row>
    <row r="244" spans="1:191" s="135" customFormat="1" ht="21" customHeight="1">
      <c r="A244" s="406" t="s">
        <v>626</v>
      </c>
      <c r="B244" s="406"/>
      <c r="C244" s="406"/>
      <c r="D244" s="406"/>
      <c r="E244" s="406"/>
      <c r="F244" s="406"/>
      <c r="G244" s="406"/>
      <c r="H244" s="406"/>
      <c r="I244" s="406"/>
      <c r="J244" s="406"/>
      <c r="K244" s="406"/>
      <c r="L244" s="406"/>
      <c r="M244" s="406"/>
      <c r="N244" s="406"/>
      <c r="O244" s="406"/>
      <c r="P244" s="406"/>
      <c r="Q244" s="406"/>
      <c r="R244" s="146"/>
      <c r="S244" s="146"/>
      <c r="T244" s="134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3"/>
      <c r="BA244" s="133"/>
      <c r="BB244" s="133"/>
      <c r="BC244" s="133"/>
      <c r="BD244" s="133"/>
      <c r="BE244" s="133"/>
      <c r="BF244" s="133"/>
      <c r="BG244" s="133"/>
      <c r="BH244" s="133"/>
      <c r="BI244" s="133"/>
      <c r="BJ244" s="133"/>
      <c r="BK244" s="133"/>
      <c r="BL244" s="133"/>
      <c r="BM244" s="133"/>
      <c r="BN244" s="133"/>
      <c r="BO244" s="133"/>
      <c r="BP244" s="133"/>
      <c r="BQ244" s="133"/>
      <c r="BR244" s="133"/>
      <c r="BS244" s="133"/>
      <c r="BT244" s="133"/>
      <c r="BU244" s="133"/>
      <c r="BV244" s="133"/>
      <c r="BW244" s="133"/>
      <c r="BX244" s="133"/>
      <c r="BY244" s="133"/>
      <c r="BZ244" s="133"/>
      <c r="CA244" s="133"/>
      <c r="CB244" s="133"/>
      <c r="CC244" s="133"/>
      <c r="CD244" s="133"/>
      <c r="CE244" s="133"/>
      <c r="CF244" s="133"/>
      <c r="CG244" s="133"/>
      <c r="CH244" s="133"/>
      <c r="CI244" s="133"/>
      <c r="CJ244" s="133"/>
      <c r="CK244" s="133"/>
      <c r="CL244" s="133"/>
      <c r="CM244" s="133"/>
      <c r="CN244" s="133"/>
      <c r="CO244" s="133"/>
      <c r="CP244" s="133"/>
      <c r="CQ244" s="133"/>
      <c r="CR244" s="133"/>
      <c r="CS244" s="133"/>
      <c r="CT244" s="133"/>
      <c r="CU244" s="133"/>
      <c r="CV244" s="133"/>
      <c r="CW244" s="133"/>
      <c r="CX244" s="133"/>
      <c r="CY244" s="133"/>
      <c r="CZ244" s="133"/>
      <c r="DA244" s="133"/>
      <c r="DB244" s="133"/>
      <c r="DC244" s="133"/>
      <c r="DD244" s="133"/>
      <c r="DE244" s="133"/>
      <c r="DF244" s="133"/>
      <c r="DG244" s="133"/>
      <c r="DH244" s="133"/>
      <c r="DI244" s="133"/>
      <c r="DJ244" s="133"/>
      <c r="DK244" s="133"/>
      <c r="DL244" s="133"/>
      <c r="DM244" s="133"/>
      <c r="DN244" s="133"/>
      <c r="DO244" s="133"/>
      <c r="DP244" s="133"/>
      <c r="DQ244" s="133"/>
      <c r="DR244" s="133"/>
      <c r="DS244" s="133"/>
      <c r="DT244" s="133"/>
      <c r="DU244" s="133"/>
      <c r="DV244" s="133"/>
      <c r="DW244" s="133"/>
      <c r="DX244" s="133"/>
      <c r="DY244" s="133"/>
      <c r="DZ244" s="133"/>
      <c r="EA244" s="133"/>
      <c r="EB244" s="133"/>
      <c r="EC244" s="133"/>
      <c r="ED244" s="133"/>
      <c r="EE244" s="133"/>
      <c r="EF244" s="133"/>
      <c r="EG244" s="133"/>
      <c r="EH244" s="133"/>
      <c r="EI244" s="133"/>
      <c r="EJ244" s="133"/>
      <c r="EK244" s="133"/>
      <c r="EL244" s="133"/>
      <c r="EM244" s="133"/>
      <c r="EN244" s="133"/>
      <c r="EO244" s="133"/>
      <c r="EP244" s="133"/>
      <c r="EQ244" s="133"/>
      <c r="ER244" s="133"/>
      <c r="ES244" s="133"/>
      <c r="ET244" s="133"/>
      <c r="EU244" s="133"/>
      <c r="EV244" s="133"/>
      <c r="EW244" s="133"/>
      <c r="EX244" s="133"/>
      <c r="EY244" s="133"/>
      <c r="EZ244" s="133"/>
      <c r="FA244" s="133"/>
      <c r="FB244" s="133"/>
      <c r="FC244" s="133"/>
      <c r="FD244" s="133"/>
      <c r="FE244" s="133"/>
      <c r="FF244" s="133"/>
      <c r="FG244" s="133"/>
      <c r="FH244" s="133"/>
      <c r="FI244" s="133"/>
      <c r="FJ244" s="133"/>
      <c r="FK244" s="133"/>
      <c r="FL244" s="133"/>
      <c r="FM244" s="133"/>
      <c r="FN244" s="133"/>
      <c r="FO244" s="133"/>
      <c r="FP244" s="133"/>
      <c r="FQ244" s="133"/>
      <c r="FR244" s="133"/>
      <c r="FS244" s="133"/>
      <c r="FT244" s="133"/>
      <c r="FU244" s="133"/>
      <c r="FV244" s="133"/>
      <c r="FW244" s="133"/>
      <c r="FX244" s="133"/>
      <c r="FY244" s="133"/>
      <c r="FZ244" s="133"/>
      <c r="GA244" s="133"/>
      <c r="GB244" s="133"/>
      <c r="GC244" s="133"/>
      <c r="GD244" s="133"/>
      <c r="GE244" s="133"/>
      <c r="GF244" s="133"/>
      <c r="GG244" s="133"/>
      <c r="GH244" s="133"/>
      <c r="GI244" s="133"/>
    </row>
    <row r="245" spans="1:191" s="317" customFormat="1" ht="17.25" customHeight="1">
      <c r="A245" s="126">
        <f>A243+1</f>
        <v>15</v>
      </c>
      <c r="B245" s="105" t="s">
        <v>130</v>
      </c>
      <c r="C245" s="15" t="s">
        <v>1092</v>
      </c>
      <c r="D245" s="162">
        <v>1</v>
      </c>
      <c r="E245" s="162">
        <f>2+1</f>
        <v>3</v>
      </c>
      <c r="F245" s="162">
        <f>1+1</f>
        <v>2</v>
      </c>
      <c r="G245" s="162">
        <v>2</v>
      </c>
      <c r="H245" s="162">
        <v>2</v>
      </c>
      <c r="I245" s="162">
        <v>1.98</v>
      </c>
      <c r="J245" s="163">
        <v>1.9602</v>
      </c>
      <c r="K245" s="305"/>
      <c r="L245" s="305"/>
      <c r="M245" s="305"/>
      <c r="N245" s="305"/>
      <c r="O245" s="305"/>
      <c r="P245" s="305"/>
      <c r="Q245" s="305"/>
      <c r="R245" s="314"/>
      <c r="S245" s="314"/>
      <c r="T245" s="315"/>
      <c r="U245" s="316"/>
      <c r="V245" s="316"/>
      <c r="W245" s="316"/>
      <c r="X245" s="316"/>
      <c r="Y245" s="316"/>
      <c r="Z245" s="316"/>
      <c r="AA245" s="316"/>
      <c r="AB245" s="316"/>
      <c r="AC245" s="316"/>
      <c r="AD245" s="316"/>
      <c r="AE245" s="316"/>
      <c r="AF245" s="316"/>
      <c r="AG245" s="316"/>
      <c r="AH245" s="316"/>
      <c r="AI245" s="316"/>
      <c r="AJ245" s="316"/>
      <c r="AK245" s="316"/>
      <c r="AL245" s="316"/>
      <c r="AM245" s="316"/>
      <c r="AN245" s="316"/>
      <c r="AO245" s="316"/>
      <c r="AP245" s="316"/>
      <c r="AQ245" s="316"/>
      <c r="AR245" s="316"/>
      <c r="AS245" s="316"/>
      <c r="AT245" s="316"/>
      <c r="AU245" s="316"/>
      <c r="AV245" s="316"/>
      <c r="AW245" s="316"/>
      <c r="AX245" s="316"/>
      <c r="AY245" s="316"/>
      <c r="AZ245" s="316"/>
      <c r="BA245" s="316"/>
      <c r="BB245" s="316"/>
      <c r="BC245" s="316"/>
      <c r="BD245" s="316"/>
      <c r="BE245" s="316"/>
      <c r="BF245" s="316"/>
      <c r="BG245" s="316"/>
      <c r="BH245" s="316"/>
      <c r="BI245" s="316"/>
      <c r="BJ245" s="316"/>
      <c r="BK245" s="316"/>
      <c r="BL245" s="316"/>
      <c r="BM245" s="316"/>
      <c r="BN245" s="316"/>
      <c r="BO245" s="316"/>
      <c r="BP245" s="316"/>
      <c r="BQ245" s="316"/>
      <c r="BR245" s="316"/>
      <c r="BS245" s="316"/>
      <c r="BT245" s="316"/>
      <c r="BU245" s="316"/>
      <c r="BV245" s="316"/>
      <c r="BW245" s="316"/>
      <c r="BX245" s="316"/>
      <c r="BY245" s="316"/>
      <c r="BZ245" s="316"/>
      <c r="CA245" s="316"/>
      <c r="CB245" s="316"/>
      <c r="CC245" s="316"/>
      <c r="CD245" s="316"/>
      <c r="CE245" s="316"/>
      <c r="CF245" s="316"/>
      <c r="CG245" s="316"/>
      <c r="CH245" s="316"/>
      <c r="CI245" s="316"/>
      <c r="CJ245" s="316"/>
      <c r="CK245" s="316"/>
      <c r="CL245" s="316"/>
      <c r="CM245" s="316"/>
      <c r="CN245" s="316"/>
      <c r="CO245" s="316"/>
      <c r="CP245" s="316"/>
      <c r="CQ245" s="316"/>
      <c r="CR245" s="316"/>
      <c r="CS245" s="316"/>
      <c r="CT245" s="316"/>
      <c r="CU245" s="316"/>
      <c r="CV245" s="316"/>
      <c r="CW245" s="316"/>
      <c r="CX245" s="316"/>
      <c r="CY245" s="316"/>
      <c r="CZ245" s="316"/>
      <c r="DA245" s="316"/>
      <c r="DB245" s="316"/>
      <c r="DC245" s="316"/>
      <c r="DD245" s="316"/>
      <c r="DE245" s="316"/>
      <c r="DF245" s="316"/>
      <c r="DG245" s="316"/>
      <c r="DH245" s="316"/>
      <c r="DI245" s="316"/>
      <c r="DJ245" s="316"/>
      <c r="DK245" s="316"/>
      <c r="DL245" s="316"/>
      <c r="DM245" s="316"/>
      <c r="DN245" s="316"/>
      <c r="DO245" s="316"/>
      <c r="DP245" s="316"/>
      <c r="DQ245" s="316"/>
      <c r="DR245" s="316"/>
      <c r="DS245" s="316"/>
      <c r="DT245" s="316"/>
      <c r="DU245" s="316"/>
      <c r="DV245" s="316"/>
      <c r="DW245" s="316"/>
      <c r="DX245" s="316"/>
      <c r="DY245" s="316"/>
      <c r="DZ245" s="316"/>
      <c r="EA245" s="316"/>
      <c r="EB245" s="316"/>
      <c r="EC245" s="316"/>
      <c r="ED245" s="316"/>
      <c r="EE245" s="316"/>
      <c r="EF245" s="316"/>
      <c r="EG245" s="316"/>
      <c r="EH245" s="316"/>
      <c r="EI245" s="316"/>
      <c r="EJ245" s="316"/>
      <c r="EK245" s="316"/>
      <c r="EL245" s="316"/>
      <c r="EM245" s="316"/>
      <c r="EN245" s="316"/>
      <c r="EO245" s="316"/>
      <c r="EP245" s="316"/>
      <c r="EQ245" s="316"/>
      <c r="ER245" s="316"/>
      <c r="ES245" s="316"/>
      <c r="ET245" s="316"/>
      <c r="EU245" s="316"/>
      <c r="EV245" s="316"/>
      <c r="EW245" s="316"/>
      <c r="EX245" s="316"/>
      <c r="EY245" s="316"/>
      <c r="EZ245" s="316"/>
      <c r="FA245" s="316"/>
      <c r="FB245" s="316"/>
      <c r="FC245" s="316"/>
      <c r="FD245" s="316"/>
      <c r="FE245" s="316"/>
      <c r="FF245" s="316"/>
      <c r="FG245" s="316"/>
      <c r="FH245" s="316"/>
      <c r="FI245" s="316"/>
      <c r="FJ245" s="316"/>
      <c r="FK245" s="316"/>
      <c r="FL245" s="316"/>
      <c r="FM245" s="316"/>
      <c r="FN245" s="316"/>
      <c r="FO245" s="316"/>
      <c r="FP245" s="316"/>
      <c r="FQ245" s="316"/>
      <c r="FR245" s="316"/>
      <c r="FS245" s="316"/>
      <c r="FT245" s="316"/>
      <c r="FU245" s="316"/>
      <c r="FV245" s="316"/>
      <c r="FW245" s="316"/>
      <c r="FX245" s="316"/>
      <c r="FY245" s="316"/>
      <c r="FZ245" s="316"/>
      <c r="GA245" s="316"/>
      <c r="GB245" s="316"/>
      <c r="GC245" s="316"/>
      <c r="GD245" s="316"/>
      <c r="GE245" s="316"/>
      <c r="GF245" s="316"/>
      <c r="GG245" s="316"/>
      <c r="GH245" s="316"/>
      <c r="GI245" s="316"/>
    </row>
    <row r="246" spans="1:28" s="147" customFormat="1" ht="16.5" customHeight="1">
      <c r="A246" s="126">
        <f>A245+1</f>
        <v>16</v>
      </c>
      <c r="B246" s="105" t="s">
        <v>119</v>
      </c>
      <c r="C246" s="15" t="s">
        <v>120</v>
      </c>
      <c r="D246" s="162">
        <v>48</v>
      </c>
      <c r="E246" s="162">
        <v>48</v>
      </c>
      <c r="F246" s="162">
        <v>49</v>
      </c>
      <c r="G246" s="162">
        <v>49</v>
      </c>
      <c r="H246" s="162">
        <v>50</v>
      </c>
      <c r="I246" s="162">
        <v>1.98</v>
      </c>
      <c r="J246" s="163">
        <v>1.9602</v>
      </c>
      <c r="K246" s="178"/>
      <c r="L246" s="175"/>
      <c r="M246" s="175"/>
      <c r="N246" s="175"/>
      <c r="O246" s="175"/>
      <c r="P246" s="175"/>
      <c r="Q246" s="175"/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143"/>
    </row>
    <row r="247" spans="1:28" s="147" customFormat="1" ht="16.5" customHeight="1">
      <c r="A247" s="126">
        <f aca="true" t="shared" si="102" ref="A247:A277">A246+1</f>
        <v>17</v>
      </c>
      <c r="B247" s="97" t="s">
        <v>887</v>
      </c>
      <c r="C247" s="66" t="s">
        <v>888</v>
      </c>
      <c r="D247" s="162">
        <v>6</v>
      </c>
      <c r="E247" s="162">
        <f>16-6</f>
        <v>10</v>
      </c>
      <c r="F247" s="162">
        <f>14-5</f>
        <v>9</v>
      </c>
      <c r="G247" s="162">
        <v>12</v>
      </c>
      <c r="H247" s="162">
        <v>13</v>
      </c>
      <c r="I247" s="162">
        <f aca="true" t="shared" si="103" ref="I247:J249">H247*0.99</f>
        <v>12.87</v>
      </c>
      <c r="J247" s="163">
        <f t="shared" si="103"/>
        <v>12.741299999999999</v>
      </c>
      <c r="K247" s="178"/>
      <c r="L247" s="175"/>
      <c r="M247" s="175"/>
      <c r="N247" s="175"/>
      <c r="O247" s="175"/>
      <c r="P247" s="175"/>
      <c r="Q247" s="175"/>
      <c r="R247" s="143"/>
      <c r="S247" s="143"/>
      <c r="T247" s="143"/>
      <c r="U247" s="143"/>
      <c r="V247" s="143"/>
      <c r="W247" s="143"/>
      <c r="X247" s="143"/>
      <c r="Y247" s="143"/>
      <c r="Z247" s="143"/>
      <c r="AA247" s="143"/>
      <c r="AB247" s="143"/>
    </row>
    <row r="248" spans="1:28" s="144" customFormat="1" ht="16.5" customHeight="1">
      <c r="A248" s="126">
        <f t="shared" si="102"/>
        <v>18</v>
      </c>
      <c r="B248" s="97" t="s">
        <v>352</v>
      </c>
      <c r="C248" s="15" t="s">
        <v>1150</v>
      </c>
      <c r="D248" s="162" t="s">
        <v>998</v>
      </c>
      <c r="E248" s="162">
        <v>1</v>
      </c>
      <c r="F248" s="162">
        <v>1</v>
      </c>
      <c r="G248" s="162" t="s">
        <v>998</v>
      </c>
      <c r="H248" s="162">
        <v>1</v>
      </c>
      <c r="I248" s="162">
        <f>H248*0.99</f>
        <v>0.99</v>
      </c>
      <c r="J248" s="163">
        <f>I248*0.99</f>
        <v>0.9801</v>
      </c>
      <c r="K248" s="178"/>
      <c r="L248" s="175"/>
      <c r="M248" s="175"/>
      <c r="N248" s="175"/>
      <c r="O248" s="175"/>
      <c r="P248" s="175"/>
      <c r="Q248" s="175"/>
      <c r="R248" s="143"/>
      <c r="S248" s="143"/>
      <c r="T248" s="143"/>
      <c r="U248" s="143"/>
      <c r="V248" s="143"/>
      <c r="W248" s="143"/>
      <c r="X248" s="143"/>
      <c r="Y248" s="143"/>
      <c r="Z248" s="143"/>
      <c r="AA248" s="143"/>
      <c r="AB248" s="143"/>
    </row>
    <row r="249" spans="1:28" s="144" customFormat="1" ht="16.5" customHeight="1">
      <c r="A249" s="126">
        <f t="shared" si="102"/>
        <v>19</v>
      </c>
      <c r="B249" s="97" t="s">
        <v>932</v>
      </c>
      <c r="C249" s="15" t="s">
        <v>933</v>
      </c>
      <c r="D249" s="162">
        <v>3</v>
      </c>
      <c r="E249" s="162">
        <v>1</v>
      </c>
      <c r="F249" s="162">
        <v>2</v>
      </c>
      <c r="G249" s="162">
        <v>1</v>
      </c>
      <c r="H249" s="162">
        <v>1</v>
      </c>
      <c r="I249" s="162">
        <f t="shared" si="103"/>
        <v>0.99</v>
      </c>
      <c r="J249" s="163">
        <f t="shared" si="103"/>
        <v>0.9801</v>
      </c>
      <c r="K249" s="178"/>
      <c r="L249" s="175"/>
      <c r="M249" s="175"/>
      <c r="N249" s="175"/>
      <c r="O249" s="175"/>
      <c r="P249" s="175"/>
      <c r="Q249" s="175"/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</row>
    <row r="250" spans="1:28" s="147" customFormat="1" ht="16.5" customHeight="1">
      <c r="A250" s="126">
        <f t="shared" si="102"/>
        <v>20</v>
      </c>
      <c r="B250" s="97" t="s">
        <v>613</v>
      </c>
      <c r="C250" s="15" t="s">
        <v>614</v>
      </c>
      <c r="D250" s="162">
        <v>2</v>
      </c>
      <c r="E250" s="162" t="s">
        <v>556</v>
      </c>
      <c r="F250" s="162" t="s">
        <v>556</v>
      </c>
      <c r="G250" s="162" t="s">
        <v>556</v>
      </c>
      <c r="H250" s="162" t="s">
        <v>556</v>
      </c>
      <c r="I250" s="162" t="s">
        <v>556</v>
      </c>
      <c r="J250" s="163" t="s">
        <v>556</v>
      </c>
      <c r="K250" s="178"/>
      <c r="L250" s="175"/>
      <c r="M250" s="175"/>
      <c r="N250" s="175"/>
      <c r="O250" s="175"/>
      <c r="P250" s="175"/>
      <c r="Q250" s="175"/>
      <c r="R250" s="143"/>
      <c r="S250" s="143"/>
      <c r="T250" s="143"/>
      <c r="U250" s="143"/>
      <c r="V250" s="143"/>
      <c r="W250" s="143"/>
      <c r="X250" s="143"/>
      <c r="Y250" s="143"/>
      <c r="Z250" s="143"/>
      <c r="AA250" s="143"/>
      <c r="AB250" s="143"/>
    </row>
    <row r="251" spans="1:28" s="147" customFormat="1" ht="33" customHeight="1">
      <c r="A251" s="126">
        <f t="shared" si="102"/>
        <v>21</v>
      </c>
      <c r="B251" s="97" t="s">
        <v>615</v>
      </c>
      <c r="C251" s="15" t="s">
        <v>616</v>
      </c>
      <c r="D251" s="162">
        <v>2</v>
      </c>
      <c r="E251" s="162" t="s">
        <v>556</v>
      </c>
      <c r="F251" s="162" t="s">
        <v>556</v>
      </c>
      <c r="G251" s="162" t="s">
        <v>556</v>
      </c>
      <c r="H251" s="162" t="s">
        <v>556</v>
      </c>
      <c r="I251" s="162" t="s">
        <v>556</v>
      </c>
      <c r="J251" s="163" t="s">
        <v>556</v>
      </c>
      <c r="K251" s="178"/>
      <c r="L251" s="175"/>
      <c r="M251" s="175"/>
      <c r="N251" s="175"/>
      <c r="O251" s="175"/>
      <c r="P251" s="175"/>
      <c r="Q251" s="175"/>
      <c r="R251" s="143"/>
      <c r="S251" s="143"/>
      <c r="T251" s="143"/>
      <c r="U251" s="143"/>
      <c r="V251" s="143"/>
      <c r="W251" s="143"/>
      <c r="X251" s="143"/>
      <c r="Y251" s="143"/>
      <c r="Z251" s="143"/>
      <c r="AA251" s="143"/>
      <c r="AB251" s="143"/>
    </row>
    <row r="252" spans="1:28" s="147" customFormat="1" ht="16.5" customHeight="1">
      <c r="A252" s="126">
        <f t="shared" si="102"/>
        <v>22</v>
      </c>
      <c r="B252" s="97" t="s">
        <v>891</v>
      </c>
      <c r="C252" s="15" t="s">
        <v>892</v>
      </c>
      <c r="D252" s="162" t="s">
        <v>998</v>
      </c>
      <c r="E252" s="162" t="s">
        <v>998</v>
      </c>
      <c r="F252" s="162" t="s">
        <v>998</v>
      </c>
      <c r="G252" s="162" t="s">
        <v>998</v>
      </c>
      <c r="H252" s="162">
        <f>2-1</f>
        <v>1</v>
      </c>
      <c r="I252" s="162">
        <f aca="true" t="shared" si="104" ref="I252:J254">H252*0.99</f>
        <v>0.99</v>
      </c>
      <c r="J252" s="163">
        <f t="shared" si="104"/>
        <v>0.9801</v>
      </c>
      <c r="K252" s="178"/>
      <c r="L252" s="175"/>
      <c r="M252" s="175"/>
      <c r="N252" s="175"/>
      <c r="O252" s="175"/>
      <c r="P252" s="175"/>
      <c r="Q252" s="175"/>
      <c r="R252" s="143"/>
      <c r="S252" s="143"/>
      <c r="T252" s="143"/>
      <c r="U252" s="143"/>
      <c r="V252" s="143"/>
      <c r="W252" s="143"/>
      <c r="X252" s="143"/>
      <c r="Y252" s="143"/>
      <c r="Z252" s="143"/>
      <c r="AA252" s="143"/>
      <c r="AB252" s="143"/>
    </row>
    <row r="253" spans="1:17" s="145" customFormat="1" ht="15.75">
      <c r="A253" s="126">
        <f t="shared" si="102"/>
        <v>23</v>
      </c>
      <c r="B253" s="97" t="s">
        <v>483</v>
      </c>
      <c r="C253" s="66" t="s">
        <v>683</v>
      </c>
      <c r="D253" s="326">
        <v>57</v>
      </c>
      <c r="E253" s="326">
        <v>57</v>
      </c>
      <c r="F253" s="326">
        <v>59</v>
      </c>
      <c r="G253" s="326">
        <v>60</v>
      </c>
      <c r="H253" s="326">
        <v>61</v>
      </c>
      <c r="I253" s="162">
        <f t="shared" si="104"/>
        <v>60.39</v>
      </c>
      <c r="J253" s="163">
        <f t="shared" si="104"/>
        <v>59.7861</v>
      </c>
      <c r="K253" s="178"/>
      <c r="L253" s="178"/>
      <c r="M253" s="178"/>
      <c r="N253" s="178"/>
      <c r="O253" s="178"/>
      <c r="P253" s="178"/>
      <c r="Q253" s="178"/>
    </row>
    <row r="254" spans="1:28" s="147" customFormat="1" ht="16.5" customHeight="1">
      <c r="A254" s="126">
        <f t="shared" si="102"/>
        <v>24</v>
      </c>
      <c r="B254" s="97" t="s">
        <v>326</v>
      </c>
      <c r="C254" s="15" t="s">
        <v>327</v>
      </c>
      <c r="D254" s="162">
        <v>2</v>
      </c>
      <c r="E254" s="162">
        <v>2</v>
      </c>
      <c r="F254" s="162">
        <v>2</v>
      </c>
      <c r="G254" s="162">
        <v>2</v>
      </c>
      <c r="H254" s="162">
        <v>2</v>
      </c>
      <c r="I254" s="162">
        <f t="shared" si="104"/>
        <v>1.98</v>
      </c>
      <c r="J254" s="163">
        <f t="shared" si="104"/>
        <v>1.9602</v>
      </c>
      <c r="K254" s="178"/>
      <c r="L254" s="175"/>
      <c r="M254" s="175"/>
      <c r="N254" s="175"/>
      <c r="O254" s="175"/>
      <c r="P254" s="175"/>
      <c r="Q254" s="175"/>
      <c r="R254" s="143"/>
      <c r="S254" s="143"/>
      <c r="T254" s="143"/>
      <c r="U254" s="143"/>
      <c r="V254" s="143"/>
      <c r="W254" s="143"/>
      <c r="X254" s="143"/>
      <c r="Y254" s="143"/>
      <c r="Z254" s="143"/>
      <c r="AA254" s="143"/>
      <c r="AB254" s="143"/>
    </row>
    <row r="255" spans="1:28" s="147" customFormat="1" ht="16.5" customHeight="1">
      <c r="A255" s="126">
        <f t="shared" si="102"/>
        <v>25</v>
      </c>
      <c r="B255" s="97" t="s">
        <v>484</v>
      </c>
      <c r="C255" s="66" t="s">
        <v>716</v>
      </c>
      <c r="D255" s="162">
        <v>102</v>
      </c>
      <c r="E255" s="162">
        <f>77+2+2</f>
        <v>81</v>
      </c>
      <c r="F255" s="162">
        <f>77+2+1</f>
        <v>80</v>
      </c>
      <c r="G255" s="162">
        <f>67+1</f>
        <v>68</v>
      </c>
      <c r="H255" s="162">
        <f>65+1</f>
        <v>66</v>
      </c>
      <c r="I255" s="162">
        <v>12.87</v>
      </c>
      <c r="J255" s="163">
        <v>12.741299999999999</v>
      </c>
      <c r="K255" s="178"/>
      <c r="L255" s="178"/>
      <c r="M255" s="178"/>
      <c r="N255" s="178"/>
      <c r="O255" s="178"/>
      <c r="P255" s="178"/>
      <c r="Q255" s="178"/>
      <c r="R255" s="176">
        <f>K255*1.28</f>
        <v>0</v>
      </c>
      <c r="S255" s="176">
        <f>L255*1.28</f>
        <v>0</v>
      </c>
      <c r="T255" s="143"/>
      <c r="U255" s="143"/>
      <c r="V255" s="143"/>
      <c r="W255" s="143"/>
      <c r="X255" s="143"/>
      <c r="Y255" s="143"/>
      <c r="Z255" s="143"/>
      <c r="AA255" s="143"/>
      <c r="AB255" s="143"/>
    </row>
    <row r="256" spans="1:28" s="147" customFormat="1" ht="30.75" customHeight="1">
      <c r="A256" s="126">
        <f t="shared" si="102"/>
        <v>26</v>
      </c>
      <c r="B256" s="97" t="s">
        <v>72</v>
      </c>
      <c r="C256" s="66" t="s">
        <v>73</v>
      </c>
      <c r="D256" s="162" t="s">
        <v>998</v>
      </c>
      <c r="E256" s="162">
        <f>2-1</f>
        <v>1</v>
      </c>
      <c r="F256" s="162">
        <f>2-1+1</f>
        <v>2</v>
      </c>
      <c r="G256" s="162">
        <f>2-1</f>
        <v>1</v>
      </c>
      <c r="H256" s="162">
        <v>1</v>
      </c>
      <c r="I256" s="162">
        <v>12.87</v>
      </c>
      <c r="J256" s="163">
        <v>12.741299999999999</v>
      </c>
      <c r="K256" s="178"/>
      <c r="L256" s="178"/>
      <c r="M256" s="178"/>
      <c r="N256" s="178"/>
      <c r="O256" s="178"/>
      <c r="P256" s="178"/>
      <c r="Q256" s="178"/>
      <c r="R256" s="176"/>
      <c r="S256" s="176"/>
      <c r="T256" s="143"/>
      <c r="U256" s="143"/>
      <c r="V256" s="143"/>
      <c r="W256" s="143"/>
      <c r="X256" s="143"/>
      <c r="Y256" s="143"/>
      <c r="Z256" s="143"/>
      <c r="AA256" s="143"/>
      <c r="AB256" s="143"/>
    </row>
    <row r="257" spans="1:19" s="145" customFormat="1" ht="15.75">
      <c r="A257" s="126">
        <f t="shared" si="102"/>
        <v>27</v>
      </c>
      <c r="B257" s="97" t="s">
        <v>485</v>
      </c>
      <c r="C257" s="66" t="s">
        <v>717</v>
      </c>
      <c r="D257" s="326">
        <v>40</v>
      </c>
      <c r="E257" s="326">
        <v>40</v>
      </c>
      <c r="F257" s="326">
        <v>41</v>
      </c>
      <c r="G257" s="326">
        <v>42</v>
      </c>
      <c r="H257" s="326">
        <v>42</v>
      </c>
      <c r="I257" s="162">
        <f aca="true" t="shared" si="105" ref="I257:J261">H257*0.99</f>
        <v>41.58</v>
      </c>
      <c r="J257" s="163">
        <f t="shared" si="105"/>
        <v>41.1642</v>
      </c>
      <c r="K257" s="178"/>
      <c r="L257" s="175"/>
      <c r="M257" s="175"/>
      <c r="N257" s="175"/>
      <c r="O257" s="175"/>
      <c r="P257" s="175"/>
      <c r="Q257" s="175"/>
      <c r="R257" s="177">
        <f>K257*1.28</f>
        <v>0</v>
      </c>
      <c r="S257" s="177">
        <f>L257*1.28</f>
        <v>0</v>
      </c>
    </row>
    <row r="258" spans="1:19" s="310" customFormat="1" ht="15.75" customHeight="1">
      <c r="A258" s="126">
        <f t="shared" si="102"/>
        <v>28</v>
      </c>
      <c r="B258" s="97" t="s">
        <v>336</v>
      </c>
      <c r="C258" s="66" t="s">
        <v>1123</v>
      </c>
      <c r="D258" s="326" t="s">
        <v>998</v>
      </c>
      <c r="E258" s="326">
        <v>1</v>
      </c>
      <c r="F258" s="326">
        <v>1</v>
      </c>
      <c r="G258" s="326" t="s">
        <v>998</v>
      </c>
      <c r="H258" s="326">
        <v>1</v>
      </c>
      <c r="I258" s="162">
        <f t="shared" si="105"/>
        <v>0.99</v>
      </c>
      <c r="J258" s="163">
        <f t="shared" si="105"/>
        <v>0.9801</v>
      </c>
      <c r="K258" s="178"/>
      <c r="L258" s="175"/>
      <c r="M258" s="175"/>
      <c r="N258" s="175"/>
      <c r="O258" s="175"/>
      <c r="P258" s="175"/>
      <c r="Q258" s="175"/>
      <c r="R258" s="319"/>
      <c r="S258" s="319"/>
    </row>
    <row r="259" spans="1:28" s="147" customFormat="1" ht="29.25" customHeight="1">
      <c r="A259" s="126">
        <f t="shared" si="102"/>
        <v>29</v>
      </c>
      <c r="B259" s="105" t="s">
        <v>611</v>
      </c>
      <c r="C259" s="15" t="s">
        <v>612</v>
      </c>
      <c r="D259" s="162">
        <f>23-10+2-3</f>
        <v>12</v>
      </c>
      <c r="E259" s="162">
        <f>20-8+1+2-8</f>
        <v>7</v>
      </c>
      <c r="F259" s="162">
        <f>19-7+3+1-7</f>
        <v>9</v>
      </c>
      <c r="G259" s="162">
        <f>17-6+2+1-8</f>
        <v>6</v>
      </c>
      <c r="H259" s="162">
        <f>17-6+2+1-5</f>
        <v>9</v>
      </c>
      <c r="I259" s="162">
        <f t="shared" si="105"/>
        <v>8.91</v>
      </c>
      <c r="J259" s="163">
        <f t="shared" si="105"/>
        <v>8.8209</v>
      </c>
      <c r="K259" s="178"/>
      <c r="L259" s="175"/>
      <c r="M259" s="175"/>
      <c r="N259" s="175"/>
      <c r="O259" s="175"/>
      <c r="P259" s="175"/>
      <c r="Q259" s="175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</row>
    <row r="260" spans="1:17" s="145" customFormat="1" ht="30">
      <c r="A260" s="126">
        <f t="shared" si="102"/>
        <v>30</v>
      </c>
      <c r="B260" s="97" t="s">
        <v>486</v>
      </c>
      <c r="C260" s="66" t="s">
        <v>718</v>
      </c>
      <c r="D260" s="326">
        <v>27</v>
      </c>
      <c r="E260" s="326">
        <f>28+5+1</f>
        <v>34</v>
      </c>
      <c r="F260" s="326">
        <f>29+2</f>
        <v>31</v>
      </c>
      <c r="G260" s="326">
        <f>29+2+2</f>
        <v>33</v>
      </c>
      <c r="H260" s="326">
        <f>29+2+1</f>
        <v>32</v>
      </c>
      <c r="I260" s="162">
        <f t="shared" si="105"/>
        <v>31.68</v>
      </c>
      <c r="J260" s="163">
        <f t="shared" si="105"/>
        <v>31.3632</v>
      </c>
      <c r="K260" s="178"/>
      <c r="L260" s="175"/>
      <c r="M260" s="175"/>
      <c r="N260" s="175"/>
      <c r="O260" s="175"/>
      <c r="P260" s="175"/>
      <c r="Q260" s="175"/>
    </row>
    <row r="261" spans="1:17" s="310" customFormat="1" ht="15.75">
      <c r="A261" s="126">
        <f t="shared" si="102"/>
        <v>31</v>
      </c>
      <c r="B261" s="97" t="s">
        <v>487</v>
      </c>
      <c r="C261" s="66" t="s">
        <v>476</v>
      </c>
      <c r="D261" s="326">
        <v>1</v>
      </c>
      <c r="E261" s="326">
        <f>2+4+2+2+1+1+2+1+5</f>
        <v>20</v>
      </c>
      <c r="F261" s="326">
        <f>1+2+1+1+1+2+1</f>
        <v>9</v>
      </c>
      <c r="G261" s="326">
        <f>1+2+2+1+1+1+3+1</f>
        <v>12</v>
      </c>
      <c r="H261" s="326">
        <f>1+1+1+1+2+1</f>
        <v>7</v>
      </c>
      <c r="I261" s="162">
        <f t="shared" si="105"/>
        <v>6.93</v>
      </c>
      <c r="J261" s="163">
        <f t="shared" si="105"/>
        <v>6.8607</v>
      </c>
      <c r="K261" s="178"/>
      <c r="L261" s="175"/>
      <c r="M261" s="175"/>
      <c r="N261" s="175"/>
      <c r="O261" s="175"/>
      <c r="P261" s="175"/>
      <c r="Q261" s="175"/>
    </row>
    <row r="262" spans="1:28" s="144" customFormat="1" ht="29.25" customHeight="1">
      <c r="A262" s="126">
        <f t="shared" si="102"/>
        <v>32</v>
      </c>
      <c r="B262" s="97" t="s">
        <v>889</v>
      </c>
      <c r="C262" s="66" t="s">
        <v>890</v>
      </c>
      <c r="D262" s="162">
        <v>9</v>
      </c>
      <c r="E262" s="162" t="s">
        <v>556</v>
      </c>
      <c r="F262" s="162" t="s">
        <v>556</v>
      </c>
      <c r="G262" s="162" t="s">
        <v>556</v>
      </c>
      <c r="H262" s="162" t="s">
        <v>556</v>
      </c>
      <c r="I262" s="162" t="s">
        <v>556</v>
      </c>
      <c r="J262" s="163" t="s">
        <v>556</v>
      </c>
      <c r="K262" s="178"/>
      <c r="L262" s="175"/>
      <c r="M262" s="175"/>
      <c r="N262" s="175"/>
      <c r="O262" s="175"/>
      <c r="P262" s="175"/>
      <c r="Q262" s="175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</row>
    <row r="263" spans="1:17" s="145" customFormat="1" ht="15.75">
      <c r="A263" s="126">
        <f t="shared" si="102"/>
        <v>33</v>
      </c>
      <c r="B263" s="97" t="s">
        <v>491</v>
      </c>
      <c r="C263" s="66" t="s">
        <v>719</v>
      </c>
      <c r="D263" s="326">
        <v>10</v>
      </c>
      <c r="E263" s="326">
        <v>10</v>
      </c>
      <c r="F263" s="326">
        <v>10</v>
      </c>
      <c r="G263" s="326">
        <v>11</v>
      </c>
      <c r="H263" s="326">
        <v>11</v>
      </c>
      <c r="I263" s="162">
        <f aca="true" t="shared" si="106" ref="I263:J265">H263*0.99</f>
        <v>10.89</v>
      </c>
      <c r="J263" s="163">
        <f t="shared" si="106"/>
        <v>10.7811</v>
      </c>
      <c r="K263" s="178"/>
      <c r="L263" s="175"/>
      <c r="M263" s="175"/>
      <c r="N263" s="175"/>
      <c r="O263" s="175"/>
      <c r="P263" s="175"/>
      <c r="Q263" s="175"/>
    </row>
    <row r="264" spans="1:17" s="145" customFormat="1" ht="15.75">
      <c r="A264" s="126">
        <f t="shared" si="102"/>
        <v>34</v>
      </c>
      <c r="B264" s="97" t="s">
        <v>490</v>
      </c>
      <c r="C264" s="66" t="s">
        <v>720</v>
      </c>
      <c r="D264" s="326">
        <v>39</v>
      </c>
      <c r="E264" s="326">
        <v>39</v>
      </c>
      <c r="F264" s="326">
        <v>39</v>
      </c>
      <c r="G264" s="326">
        <v>40</v>
      </c>
      <c r="H264" s="326">
        <v>40</v>
      </c>
      <c r="I264" s="162">
        <f t="shared" si="106"/>
        <v>39.6</v>
      </c>
      <c r="J264" s="163">
        <f t="shared" si="106"/>
        <v>39.204</v>
      </c>
      <c r="K264" s="178"/>
      <c r="L264" s="175"/>
      <c r="M264" s="175"/>
      <c r="N264" s="175"/>
      <c r="O264" s="175"/>
      <c r="P264" s="175"/>
      <c r="Q264" s="175"/>
    </row>
    <row r="265" spans="1:17" s="145" customFormat="1" ht="15.75">
      <c r="A265" s="126">
        <f t="shared" si="102"/>
        <v>35</v>
      </c>
      <c r="B265" s="97" t="s">
        <v>489</v>
      </c>
      <c r="C265" s="66" t="s">
        <v>721</v>
      </c>
      <c r="D265" s="326">
        <v>35</v>
      </c>
      <c r="E265" s="326">
        <f>35+1</f>
        <v>36</v>
      </c>
      <c r="F265" s="326">
        <v>35</v>
      </c>
      <c r="G265" s="326">
        <f>35+1</f>
        <v>36</v>
      </c>
      <c r="H265" s="326">
        <v>35</v>
      </c>
      <c r="I265" s="162">
        <f t="shared" si="106"/>
        <v>34.65</v>
      </c>
      <c r="J265" s="163">
        <f t="shared" si="106"/>
        <v>34.3035</v>
      </c>
      <c r="K265" s="178"/>
      <c r="L265" s="175"/>
      <c r="M265" s="175"/>
      <c r="N265" s="175"/>
      <c r="O265" s="175"/>
      <c r="P265" s="175"/>
      <c r="Q265" s="175"/>
    </row>
    <row r="266" spans="1:17" s="145" customFormat="1" ht="15.75">
      <c r="A266" s="126">
        <f t="shared" si="102"/>
        <v>36</v>
      </c>
      <c r="B266" s="97" t="s">
        <v>1159</v>
      </c>
      <c r="C266" s="66" t="s">
        <v>1151</v>
      </c>
      <c r="D266" s="326" t="s">
        <v>998</v>
      </c>
      <c r="E266" s="326">
        <v>1</v>
      </c>
      <c r="F266" s="326" t="s">
        <v>998</v>
      </c>
      <c r="G266" s="326">
        <v>1</v>
      </c>
      <c r="H266" s="326" t="s">
        <v>998</v>
      </c>
      <c r="I266" s="162" t="s">
        <v>998</v>
      </c>
      <c r="J266" s="163" t="s">
        <v>998</v>
      </c>
      <c r="K266" s="178"/>
      <c r="L266" s="175"/>
      <c r="M266" s="175"/>
      <c r="N266" s="175"/>
      <c r="O266" s="175"/>
      <c r="P266" s="175"/>
      <c r="Q266" s="175"/>
    </row>
    <row r="267" spans="1:28" s="147" customFormat="1" ht="18" customHeight="1">
      <c r="A267" s="126">
        <f t="shared" si="102"/>
        <v>37</v>
      </c>
      <c r="B267" s="97" t="s">
        <v>617</v>
      </c>
      <c r="C267" s="15" t="s">
        <v>618</v>
      </c>
      <c r="D267" s="162">
        <v>1</v>
      </c>
      <c r="E267" s="162">
        <v>3</v>
      </c>
      <c r="F267" s="162">
        <v>1</v>
      </c>
      <c r="G267" s="162" t="s">
        <v>556</v>
      </c>
      <c r="H267" s="162" t="s">
        <v>556</v>
      </c>
      <c r="I267" s="162" t="s">
        <v>556</v>
      </c>
      <c r="J267" s="163" t="s">
        <v>556</v>
      </c>
      <c r="K267" s="178"/>
      <c r="L267" s="175"/>
      <c r="M267" s="175"/>
      <c r="N267" s="175"/>
      <c r="O267" s="175"/>
      <c r="P267" s="175"/>
      <c r="Q267" s="175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</row>
    <row r="268" spans="1:28" s="144" customFormat="1" ht="30.75" customHeight="1">
      <c r="A268" s="126">
        <f t="shared" si="102"/>
        <v>38</v>
      </c>
      <c r="B268" s="97" t="s">
        <v>74</v>
      </c>
      <c r="C268" s="15" t="s">
        <v>75</v>
      </c>
      <c r="D268" s="162">
        <f>7-5-1</f>
        <v>1</v>
      </c>
      <c r="E268" s="162" t="s">
        <v>998</v>
      </c>
      <c r="F268" s="162" t="s">
        <v>998</v>
      </c>
      <c r="G268" s="162" t="s">
        <v>998</v>
      </c>
      <c r="H268" s="162" t="s">
        <v>998</v>
      </c>
      <c r="I268" s="162" t="s">
        <v>998</v>
      </c>
      <c r="J268" s="163" t="s">
        <v>998</v>
      </c>
      <c r="K268" s="178"/>
      <c r="L268" s="175"/>
      <c r="M268" s="175"/>
      <c r="N268" s="175"/>
      <c r="O268" s="175"/>
      <c r="P268" s="175"/>
      <c r="Q268" s="175"/>
      <c r="R268" s="143"/>
      <c r="S268" s="143"/>
      <c r="T268" s="143"/>
      <c r="U268" s="143"/>
      <c r="V268" s="143"/>
      <c r="W268" s="143"/>
      <c r="X268" s="143"/>
      <c r="Y268" s="143"/>
      <c r="Z268" s="143"/>
      <c r="AA268" s="143"/>
      <c r="AB268" s="143"/>
    </row>
    <row r="269" spans="1:28" s="144" customFormat="1" ht="15.75" customHeight="1">
      <c r="A269" s="126">
        <f t="shared" si="102"/>
        <v>39</v>
      </c>
      <c r="B269" s="97" t="s">
        <v>1364</v>
      </c>
      <c r="C269" s="15" t="s">
        <v>1201</v>
      </c>
      <c r="D269" s="162" t="s">
        <v>998</v>
      </c>
      <c r="E269" s="162">
        <v>2</v>
      </c>
      <c r="F269" s="162" t="s">
        <v>998</v>
      </c>
      <c r="G269" s="162" t="s">
        <v>998</v>
      </c>
      <c r="H269" s="162" t="s">
        <v>998</v>
      </c>
      <c r="I269" s="162" t="s">
        <v>998</v>
      </c>
      <c r="J269" s="163" t="s">
        <v>998</v>
      </c>
      <c r="K269" s="178"/>
      <c r="L269" s="175"/>
      <c r="M269" s="175"/>
      <c r="N269" s="175"/>
      <c r="O269" s="175"/>
      <c r="P269" s="175"/>
      <c r="Q269" s="175"/>
      <c r="R269" s="143"/>
      <c r="S269" s="143"/>
      <c r="T269" s="143"/>
      <c r="U269" s="143"/>
      <c r="V269" s="143"/>
      <c r="W269" s="143"/>
      <c r="X269" s="143"/>
      <c r="Y269" s="143"/>
      <c r="Z269" s="143"/>
      <c r="AA269" s="143"/>
      <c r="AB269" s="143"/>
    </row>
    <row r="270" spans="1:17" s="145" customFormat="1" ht="15.75">
      <c r="A270" s="126">
        <f t="shared" si="102"/>
        <v>40</v>
      </c>
      <c r="B270" s="97" t="s">
        <v>488</v>
      </c>
      <c r="C270" s="66" t="s">
        <v>725</v>
      </c>
      <c r="D270" s="326">
        <v>25</v>
      </c>
      <c r="E270" s="326">
        <v>25</v>
      </c>
      <c r="F270" s="326">
        <v>25</v>
      </c>
      <c r="G270" s="326">
        <v>25</v>
      </c>
      <c r="H270" s="326">
        <v>25</v>
      </c>
      <c r="I270" s="162">
        <f aca="true" t="shared" si="107" ref="I270:J274">H270*0.99</f>
        <v>24.75</v>
      </c>
      <c r="J270" s="163">
        <f t="shared" si="107"/>
        <v>24.5025</v>
      </c>
      <c r="K270" s="175"/>
      <c r="L270" s="175"/>
      <c r="M270" s="175"/>
      <c r="N270" s="175"/>
      <c r="O270" s="175"/>
      <c r="P270" s="175"/>
      <c r="Q270" s="175"/>
    </row>
    <row r="271" spans="1:17" s="310" customFormat="1" ht="15.75">
      <c r="A271" s="126">
        <f t="shared" si="102"/>
        <v>41</v>
      </c>
      <c r="B271" s="97" t="s">
        <v>221</v>
      </c>
      <c r="C271" s="66" t="s">
        <v>1078</v>
      </c>
      <c r="D271" s="326" t="s">
        <v>998</v>
      </c>
      <c r="E271" s="326">
        <f>3+3+2+5</f>
        <v>13</v>
      </c>
      <c r="F271" s="326">
        <f>2+1+2</f>
        <v>5</v>
      </c>
      <c r="G271" s="326">
        <f>2+1</f>
        <v>3</v>
      </c>
      <c r="H271" s="326">
        <f>1+1+1</f>
        <v>3</v>
      </c>
      <c r="I271" s="162">
        <f t="shared" si="107"/>
        <v>2.9699999999999998</v>
      </c>
      <c r="J271" s="163">
        <f t="shared" si="107"/>
        <v>2.9402999999999997</v>
      </c>
      <c r="K271" s="175"/>
      <c r="L271" s="175"/>
      <c r="M271" s="175"/>
      <c r="N271" s="175"/>
      <c r="O271" s="175"/>
      <c r="P271" s="175"/>
      <c r="Q271" s="175"/>
    </row>
    <row r="272" spans="1:17" s="310" customFormat="1" ht="15.75">
      <c r="A272" s="126">
        <f t="shared" si="102"/>
        <v>42</v>
      </c>
      <c r="B272" s="97" t="s">
        <v>129</v>
      </c>
      <c r="C272" s="66" t="s">
        <v>1089</v>
      </c>
      <c r="D272" s="326">
        <f>1+3</f>
        <v>4</v>
      </c>
      <c r="E272" s="326">
        <f>1+3</f>
        <v>4</v>
      </c>
      <c r="F272" s="326">
        <f>3</f>
        <v>3</v>
      </c>
      <c r="G272" s="326">
        <f>3</f>
        <v>3</v>
      </c>
      <c r="H272" s="326">
        <f>3</f>
        <v>3</v>
      </c>
      <c r="I272" s="162">
        <f t="shared" si="107"/>
        <v>2.9699999999999998</v>
      </c>
      <c r="J272" s="163">
        <f t="shared" si="107"/>
        <v>2.9402999999999997</v>
      </c>
      <c r="K272" s="175"/>
      <c r="L272" s="175"/>
      <c r="M272" s="175"/>
      <c r="N272" s="175"/>
      <c r="O272" s="175"/>
      <c r="P272" s="175"/>
      <c r="Q272" s="175"/>
    </row>
    <row r="273" spans="1:28" s="147" customFormat="1" ht="30">
      <c r="A273" s="126">
        <f t="shared" si="102"/>
        <v>43</v>
      </c>
      <c r="B273" s="105" t="s">
        <v>893</v>
      </c>
      <c r="C273" s="15" t="s">
        <v>894</v>
      </c>
      <c r="D273" s="162">
        <f>5-3+3</f>
        <v>5</v>
      </c>
      <c r="E273" s="162">
        <f>5-3+3</f>
        <v>5</v>
      </c>
      <c r="F273" s="162">
        <f>5-3+3</f>
        <v>5</v>
      </c>
      <c r="G273" s="162">
        <f>5-3+3</f>
        <v>5</v>
      </c>
      <c r="H273" s="162">
        <f>5-3+3</f>
        <v>5</v>
      </c>
      <c r="I273" s="162">
        <f t="shared" si="107"/>
        <v>4.95</v>
      </c>
      <c r="J273" s="163">
        <f t="shared" si="107"/>
        <v>4.9005</v>
      </c>
      <c r="K273" s="175"/>
      <c r="L273" s="175"/>
      <c r="M273" s="175"/>
      <c r="N273" s="175"/>
      <c r="O273" s="175"/>
      <c r="P273" s="175"/>
      <c r="Q273" s="175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</row>
    <row r="274" spans="1:28" s="144" customFormat="1" ht="30">
      <c r="A274" s="126">
        <f t="shared" si="102"/>
        <v>44</v>
      </c>
      <c r="B274" s="97" t="s">
        <v>50</v>
      </c>
      <c r="C274" s="15" t="s">
        <v>51</v>
      </c>
      <c r="D274" s="162">
        <v>1</v>
      </c>
      <c r="E274" s="162">
        <v>1</v>
      </c>
      <c r="F274" s="162">
        <v>1</v>
      </c>
      <c r="G274" s="162" t="s">
        <v>556</v>
      </c>
      <c r="H274" s="162">
        <v>1</v>
      </c>
      <c r="I274" s="162">
        <f t="shared" si="107"/>
        <v>0.99</v>
      </c>
      <c r="J274" s="163">
        <f t="shared" si="107"/>
        <v>0.9801</v>
      </c>
      <c r="K274" s="178"/>
      <c r="L274" s="175"/>
      <c r="M274" s="175"/>
      <c r="N274" s="175"/>
      <c r="O274" s="175"/>
      <c r="P274" s="175"/>
      <c r="Q274" s="175"/>
      <c r="R274" s="143"/>
      <c r="S274" s="143"/>
      <c r="T274" s="143"/>
      <c r="U274" s="143"/>
      <c r="V274" s="143"/>
      <c r="W274" s="143"/>
      <c r="X274" s="143"/>
      <c r="Y274" s="143"/>
      <c r="Z274" s="143"/>
      <c r="AA274" s="143"/>
      <c r="AB274" s="143"/>
    </row>
    <row r="275" spans="1:28" s="144" customFormat="1" ht="30">
      <c r="A275" s="126">
        <f t="shared" si="102"/>
        <v>45</v>
      </c>
      <c r="B275" s="97" t="s">
        <v>860</v>
      </c>
      <c r="C275" s="15" t="s">
        <v>861</v>
      </c>
      <c r="D275" s="162">
        <v>1</v>
      </c>
      <c r="E275" s="162">
        <v>4</v>
      </c>
      <c r="F275" s="162" t="s">
        <v>556</v>
      </c>
      <c r="G275" s="162">
        <v>1</v>
      </c>
      <c r="H275" s="162" t="s">
        <v>556</v>
      </c>
      <c r="I275" s="162" t="s">
        <v>556</v>
      </c>
      <c r="J275" s="163" t="s">
        <v>556</v>
      </c>
      <c r="K275" s="178"/>
      <c r="L275" s="175"/>
      <c r="M275" s="175"/>
      <c r="N275" s="175"/>
      <c r="O275" s="175"/>
      <c r="P275" s="175"/>
      <c r="Q275" s="175"/>
      <c r="R275" s="143"/>
      <c r="S275" s="143"/>
      <c r="T275" s="143"/>
      <c r="U275" s="143"/>
      <c r="V275" s="143"/>
      <c r="W275" s="143"/>
      <c r="X275" s="143"/>
      <c r="Y275" s="143"/>
      <c r="Z275" s="143"/>
      <c r="AA275" s="143"/>
      <c r="AB275" s="143"/>
    </row>
    <row r="276" spans="1:28" s="144" customFormat="1" ht="15.75">
      <c r="A276" s="126">
        <f t="shared" si="102"/>
        <v>46</v>
      </c>
      <c r="B276" s="97" t="s">
        <v>859</v>
      </c>
      <c r="C276" s="15" t="s">
        <v>647</v>
      </c>
      <c r="D276" s="162">
        <v>1</v>
      </c>
      <c r="E276" s="162">
        <v>1</v>
      </c>
      <c r="F276" s="162">
        <v>1</v>
      </c>
      <c r="G276" s="162">
        <v>1</v>
      </c>
      <c r="H276" s="162">
        <v>2</v>
      </c>
      <c r="I276" s="162">
        <f>H276*0.99</f>
        <v>1.98</v>
      </c>
      <c r="J276" s="163">
        <f>I276*0.99</f>
        <v>1.9602</v>
      </c>
      <c r="K276" s="178"/>
      <c r="L276" s="175"/>
      <c r="M276" s="175"/>
      <c r="N276" s="175"/>
      <c r="O276" s="175"/>
      <c r="P276" s="175"/>
      <c r="Q276" s="175"/>
      <c r="R276" s="143"/>
      <c r="S276" s="143"/>
      <c r="T276" s="143"/>
      <c r="U276" s="143"/>
      <c r="V276" s="143"/>
      <c r="W276" s="143"/>
      <c r="X276" s="143"/>
      <c r="Y276" s="143"/>
      <c r="Z276" s="143"/>
      <c r="AA276" s="143"/>
      <c r="AB276" s="143"/>
    </row>
    <row r="277" spans="1:28" s="144" customFormat="1" ht="15.75">
      <c r="A277" s="126">
        <f t="shared" si="102"/>
        <v>47</v>
      </c>
      <c r="B277" s="97" t="s">
        <v>808</v>
      </c>
      <c r="C277" s="15" t="s">
        <v>809</v>
      </c>
      <c r="D277" s="162" t="s">
        <v>556</v>
      </c>
      <c r="E277" s="162">
        <v>1</v>
      </c>
      <c r="F277" s="162">
        <v>2</v>
      </c>
      <c r="G277" s="162" t="s">
        <v>556</v>
      </c>
      <c r="H277" s="162">
        <v>2</v>
      </c>
      <c r="I277" s="162">
        <f>H277*0.99</f>
        <v>1.98</v>
      </c>
      <c r="J277" s="163">
        <f>I277*0.99</f>
        <v>1.9602</v>
      </c>
      <c r="K277" s="178"/>
      <c r="L277" s="175"/>
      <c r="M277" s="175"/>
      <c r="N277" s="175"/>
      <c r="O277" s="175"/>
      <c r="P277" s="175"/>
      <c r="Q277" s="175"/>
      <c r="R277" s="143"/>
      <c r="S277" s="143"/>
      <c r="T277" s="143"/>
      <c r="U277" s="143"/>
      <c r="V277" s="143"/>
      <c r="W277" s="143"/>
      <c r="X277" s="143"/>
      <c r="Y277" s="143"/>
      <c r="Z277" s="143"/>
      <c r="AA277" s="143"/>
      <c r="AB277" s="143"/>
    </row>
    <row r="278" spans="1:191" s="135" customFormat="1" ht="20.25" customHeight="1">
      <c r="A278" s="406" t="s">
        <v>625</v>
      </c>
      <c r="B278" s="406"/>
      <c r="C278" s="406"/>
      <c r="D278" s="406"/>
      <c r="E278" s="406"/>
      <c r="F278" s="406"/>
      <c r="G278" s="406"/>
      <c r="H278" s="406"/>
      <c r="I278" s="406"/>
      <c r="J278" s="406"/>
      <c r="K278" s="406"/>
      <c r="L278" s="406"/>
      <c r="M278" s="406"/>
      <c r="N278" s="406"/>
      <c r="O278" s="406"/>
      <c r="P278" s="406"/>
      <c r="Q278" s="406"/>
      <c r="R278" s="146"/>
      <c r="S278" s="146"/>
      <c r="T278" s="134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  <c r="AU278" s="133"/>
      <c r="AV278" s="133"/>
      <c r="AW278" s="133"/>
      <c r="AX278" s="133"/>
      <c r="AY278" s="133"/>
      <c r="AZ278" s="133"/>
      <c r="BA278" s="133"/>
      <c r="BB278" s="133"/>
      <c r="BC278" s="133"/>
      <c r="BD278" s="133"/>
      <c r="BE278" s="133"/>
      <c r="BF278" s="133"/>
      <c r="BG278" s="133"/>
      <c r="BH278" s="133"/>
      <c r="BI278" s="133"/>
      <c r="BJ278" s="133"/>
      <c r="BK278" s="133"/>
      <c r="BL278" s="133"/>
      <c r="BM278" s="133"/>
      <c r="BN278" s="133"/>
      <c r="BO278" s="133"/>
      <c r="BP278" s="133"/>
      <c r="BQ278" s="133"/>
      <c r="BR278" s="133"/>
      <c r="BS278" s="133"/>
      <c r="BT278" s="133"/>
      <c r="BU278" s="133"/>
      <c r="BV278" s="133"/>
      <c r="BW278" s="133"/>
      <c r="BX278" s="133"/>
      <c r="BY278" s="133"/>
      <c r="BZ278" s="133"/>
      <c r="CA278" s="133"/>
      <c r="CB278" s="133"/>
      <c r="CC278" s="133"/>
      <c r="CD278" s="133"/>
      <c r="CE278" s="133"/>
      <c r="CF278" s="133"/>
      <c r="CG278" s="133"/>
      <c r="CH278" s="133"/>
      <c r="CI278" s="133"/>
      <c r="CJ278" s="133"/>
      <c r="CK278" s="133"/>
      <c r="CL278" s="133"/>
      <c r="CM278" s="133"/>
      <c r="CN278" s="133"/>
      <c r="CO278" s="133"/>
      <c r="CP278" s="133"/>
      <c r="CQ278" s="133"/>
      <c r="CR278" s="133"/>
      <c r="CS278" s="133"/>
      <c r="CT278" s="133"/>
      <c r="CU278" s="133"/>
      <c r="CV278" s="133"/>
      <c r="CW278" s="133"/>
      <c r="CX278" s="133"/>
      <c r="CY278" s="133"/>
      <c r="CZ278" s="133"/>
      <c r="DA278" s="133"/>
      <c r="DB278" s="133"/>
      <c r="DC278" s="133"/>
      <c r="DD278" s="133"/>
      <c r="DE278" s="133"/>
      <c r="DF278" s="133"/>
      <c r="DG278" s="133"/>
      <c r="DH278" s="133"/>
      <c r="DI278" s="133"/>
      <c r="DJ278" s="133"/>
      <c r="DK278" s="133"/>
      <c r="DL278" s="133"/>
      <c r="DM278" s="133"/>
      <c r="DN278" s="133"/>
      <c r="DO278" s="133"/>
      <c r="DP278" s="133"/>
      <c r="DQ278" s="133"/>
      <c r="DR278" s="133"/>
      <c r="DS278" s="133"/>
      <c r="DT278" s="133"/>
      <c r="DU278" s="133"/>
      <c r="DV278" s="133"/>
      <c r="DW278" s="133"/>
      <c r="DX278" s="133"/>
      <c r="DY278" s="133"/>
      <c r="DZ278" s="133"/>
      <c r="EA278" s="133"/>
      <c r="EB278" s="133"/>
      <c r="EC278" s="133"/>
      <c r="ED278" s="133"/>
      <c r="EE278" s="133"/>
      <c r="EF278" s="133"/>
      <c r="EG278" s="133"/>
      <c r="EH278" s="133"/>
      <c r="EI278" s="133"/>
      <c r="EJ278" s="133"/>
      <c r="EK278" s="133"/>
      <c r="EL278" s="133"/>
      <c r="EM278" s="133"/>
      <c r="EN278" s="133"/>
      <c r="EO278" s="133"/>
      <c r="EP278" s="133"/>
      <c r="EQ278" s="133"/>
      <c r="ER278" s="133"/>
      <c r="ES278" s="133"/>
      <c r="ET278" s="133"/>
      <c r="EU278" s="133"/>
      <c r="EV278" s="133"/>
      <c r="EW278" s="133"/>
      <c r="EX278" s="133"/>
      <c r="EY278" s="133"/>
      <c r="EZ278" s="133"/>
      <c r="FA278" s="133"/>
      <c r="FB278" s="133"/>
      <c r="FC278" s="133"/>
      <c r="FD278" s="133"/>
      <c r="FE278" s="133"/>
      <c r="FF278" s="133"/>
      <c r="FG278" s="133"/>
      <c r="FH278" s="133"/>
      <c r="FI278" s="133"/>
      <c r="FJ278" s="133"/>
      <c r="FK278" s="133"/>
      <c r="FL278" s="133"/>
      <c r="FM278" s="133"/>
      <c r="FN278" s="133"/>
      <c r="FO278" s="133"/>
      <c r="FP278" s="133"/>
      <c r="FQ278" s="133"/>
      <c r="FR278" s="133"/>
      <c r="FS278" s="133"/>
      <c r="FT278" s="133"/>
      <c r="FU278" s="133"/>
      <c r="FV278" s="133"/>
      <c r="FW278" s="133"/>
      <c r="FX278" s="133"/>
      <c r="FY278" s="133"/>
      <c r="FZ278" s="133"/>
      <c r="GA278" s="133"/>
      <c r="GB278" s="133"/>
      <c r="GC278" s="133"/>
      <c r="GD278" s="133"/>
      <c r="GE278" s="133"/>
      <c r="GF278" s="133"/>
      <c r="GG278" s="133"/>
      <c r="GH278" s="133"/>
      <c r="GI278" s="133"/>
    </row>
    <row r="279" spans="1:28" s="144" customFormat="1" ht="15.75" customHeight="1">
      <c r="A279" s="126">
        <f>A277+1</f>
        <v>48</v>
      </c>
      <c r="B279" s="97" t="s">
        <v>637</v>
      </c>
      <c r="C279" s="15" t="s">
        <v>638</v>
      </c>
      <c r="D279" s="162">
        <v>152</v>
      </c>
      <c r="E279" s="162">
        <v>152</v>
      </c>
      <c r="F279" s="162">
        <v>154</v>
      </c>
      <c r="G279" s="162">
        <v>158</v>
      </c>
      <c r="H279" s="162">
        <v>157</v>
      </c>
      <c r="I279" s="162">
        <f aca="true" t="shared" si="108" ref="I279:J283">H279*0.99</f>
        <v>155.43</v>
      </c>
      <c r="J279" s="197">
        <f t="shared" si="108"/>
        <v>153.8757</v>
      </c>
      <c r="K279" s="189"/>
      <c r="L279" s="177"/>
      <c r="M279" s="177"/>
      <c r="N279" s="177"/>
      <c r="O279" s="177"/>
      <c r="P279" s="177"/>
      <c r="Q279" s="177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</row>
    <row r="280" spans="1:28" s="144" customFormat="1" ht="15.75" customHeight="1">
      <c r="A280" s="126">
        <f>A279+1</f>
        <v>49</v>
      </c>
      <c r="B280" s="105" t="s">
        <v>934</v>
      </c>
      <c r="C280" s="15" t="s">
        <v>935</v>
      </c>
      <c r="D280" s="162">
        <v>14</v>
      </c>
      <c r="E280" s="162">
        <v>5</v>
      </c>
      <c r="F280" s="162">
        <v>9</v>
      </c>
      <c r="G280" s="162">
        <v>6</v>
      </c>
      <c r="H280" s="162">
        <v>5</v>
      </c>
      <c r="I280" s="162">
        <f t="shared" si="108"/>
        <v>4.95</v>
      </c>
      <c r="J280" s="163">
        <f t="shared" si="108"/>
        <v>4.9005</v>
      </c>
      <c r="K280" s="176"/>
      <c r="L280" s="177"/>
      <c r="M280" s="177"/>
      <c r="N280" s="177"/>
      <c r="O280" s="177"/>
      <c r="P280" s="177"/>
      <c r="Q280" s="177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</row>
    <row r="281" spans="1:28" s="144" customFormat="1" ht="15.75" customHeight="1">
      <c r="A281" s="126">
        <f>A280+1</f>
        <v>50</v>
      </c>
      <c r="B281" s="97" t="s">
        <v>794</v>
      </c>
      <c r="C281" s="15" t="s">
        <v>800</v>
      </c>
      <c r="D281" s="162">
        <v>1</v>
      </c>
      <c r="E281" s="162" t="s">
        <v>556</v>
      </c>
      <c r="F281" s="162" t="s">
        <v>556</v>
      </c>
      <c r="G281" s="162">
        <v>1</v>
      </c>
      <c r="H281" s="162">
        <v>1</v>
      </c>
      <c r="I281" s="162">
        <f t="shared" si="108"/>
        <v>0.99</v>
      </c>
      <c r="J281" s="163">
        <f t="shared" si="108"/>
        <v>0.9801</v>
      </c>
      <c r="K281" s="176"/>
      <c r="L281" s="175"/>
      <c r="M281" s="175"/>
      <c r="N281" s="177"/>
      <c r="O281" s="177"/>
      <c r="P281" s="177"/>
      <c r="Q281" s="177"/>
      <c r="R281" s="143"/>
      <c r="S281" s="143"/>
      <c r="T281" s="143"/>
      <c r="U281" s="143"/>
      <c r="V281" s="143"/>
      <c r="W281" s="143"/>
      <c r="X281" s="143"/>
      <c r="Y281" s="143"/>
      <c r="Z281" s="143"/>
      <c r="AA281" s="143"/>
      <c r="AB281" s="143"/>
    </row>
    <row r="282" spans="1:28" s="144" customFormat="1" ht="15.75" customHeight="1">
      <c r="A282" s="126">
        <f>A281+1</f>
        <v>51</v>
      </c>
      <c r="B282" s="97" t="s">
        <v>802</v>
      </c>
      <c r="C282" s="66" t="s">
        <v>803</v>
      </c>
      <c r="D282" s="162" t="s">
        <v>556</v>
      </c>
      <c r="E282" s="162">
        <v>1</v>
      </c>
      <c r="F282" s="162" t="s">
        <v>556</v>
      </c>
      <c r="G282" s="162">
        <v>1</v>
      </c>
      <c r="H282" s="162">
        <v>1</v>
      </c>
      <c r="I282" s="162">
        <f t="shared" si="108"/>
        <v>0.99</v>
      </c>
      <c r="J282" s="163">
        <f t="shared" si="108"/>
        <v>0.9801</v>
      </c>
      <c r="K282" s="178"/>
      <c r="L282" s="177"/>
      <c r="M282" s="175"/>
      <c r="N282" s="177"/>
      <c r="O282" s="177"/>
      <c r="P282" s="177"/>
      <c r="Q282" s="177"/>
      <c r="R282" s="143"/>
      <c r="S282" s="143"/>
      <c r="T282" s="143"/>
      <c r="U282" s="143"/>
      <c r="V282" s="143"/>
      <c r="W282" s="143"/>
      <c r="X282" s="143"/>
      <c r="Y282" s="143"/>
      <c r="Z282" s="143"/>
      <c r="AA282" s="143"/>
      <c r="AB282" s="143"/>
    </row>
    <row r="283" spans="1:17" s="143" customFormat="1" ht="15.75" customHeight="1">
      <c r="A283" s="126">
        <f>A282+1</f>
        <v>52</v>
      </c>
      <c r="B283" s="97" t="s">
        <v>996</v>
      </c>
      <c r="C283" s="66" t="s">
        <v>1122</v>
      </c>
      <c r="D283" s="162">
        <v>2</v>
      </c>
      <c r="E283" s="162">
        <v>1</v>
      </c>
      <c r="F283" s="162">
        <v>1</v>
      </c>
      <c r="G283" s="162">
        <v>1</v>
      </c>
      <c r="H283" s="162">
        <v>1</v>
      </c>
      <c r="I283" s="162">
        <f t="shared" si="108"/>
        <v>0.99</v>
      </c>
      <c r="J283" s="197">
        <f t="shared" si="108"/>
        <v>0.9801</v>
      </c>
      <c r="K283" s="331"/>
      <c r="L283" s="175"/>
      <c r="M283" s="175"/>
      <c r="N283" s="175"/>
      <c r="O283" s="175"/>
      <c r="P283" s="175"/>
      <c r="Q283" s="175"/>
    </row>
    <row r="284" spans="1:191" s="135" customFormat="1" ht="21" customHeight="1">
      <c r="A284" s="406" t="s">
        <v>624</v>
      </c>
      <c r="B284" s="406"/>
      <c r="C284" s="406"/>
      <c r="D284" s="406"/>
      <c r="E284" s="406"/>
      <c r="F284" s="406"/>
      <c r="G284" s="406"/>
      <c r="H284" s="406"/>
      <c r="I284" s="406"/>
      <c r="J284" s="406"/>
      <c r="K284" s="406"/>
      <c r="L284" s="406"/>
      <c r="M284" s="406"/>
      <c r="N284" s="406"/>
      <c r="O284" s="406"/>
      <c r="P284" s="406"/>
      <c r="Q284" s="406"/>
      <c r="R284" s="149"/>
      <c r="S284" s="149"/>
      <c r="T284" s="134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  <c r="AF284" s="133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  <c r="AR284" s="133"/>
      <c r="AS284" s="133"/>
      <c r="AT284" s="133"/>
      <c r="AU284" s="133"/>
      <c r="AV284" s="133"/>
      <c r="AW284" s="133"/>
      <c r="AX284" s="133"/>
      <c r="AY284" s="133"/>
      <c r="AZ284" s="133"/>
      <c r="BA284" s="133"/>
      <c r="BB284" s="133"/>
      <c r="BC284" s="133"/>
      <c r="BD284" s="133"/>
      <c r="BE284" s="133"/>
      <c r="BF284" s="133"/>
      <c r="BG284" s="133"/>
      <c r="BH284" s="133"/>
      <c r="BI284" s="133"/>
      <c r="BJ284" s="133"/>
      <c r="BK284" s="133"/>
      <c r="BL284" s="133"/>
      <c r="BM284" s="133"/>
      <c r="BN284" s="133"/>
      <c r="BO284" s="133"/>
      <c r="BP284" s="133"/>
      <c r="BQ284" s="133"/>
      <c r="BR284" s="133"/>
      <c r="BS284" s="133"/>
      <c r="BT284" s="133"/>
      <c r="BU284" s="133"/>
      <c r="BV284" s="133"/>
      <c r="BW284" s="133"/>
      <c r="BX284" s="133"/>
      <c r="BY284" s="133"/>
      <c r="BZ284" s="133"/>
      <c r="CA284" s="133"/>
      <c r="CB284" s="133"/>
      <c r="CC284" s="133"/>
      <c r="CD284" s="133"/>
      <c r="CE284" s="133"/>
      <c r="CF284" s="133"/>
      <c r="CG284" s="133"/>
      <c r="CH284" s="133"/>
      <c r="CI284" s="133"/>
      <c r="CJ284" s="133"/>
      <c r="CK284" s="133"/>
      <c r="CL284" s="133"/>
      <c r="CM284" s="133"/>
      <c r="CN284" s="133"/>
      <c r="CO284" s="133"/>
      <c r="CP284" s="133"/>
      <c r="CQ284" s="133"/>
      <c r="CR284" s="133"/>
      <c r="CS284" s="133"/>
      <c r="CT284" s="133"/>
      <c r="CU284" s="133"/>
      <c r="CV284" s="133"/>
      <c r="CW284" s="133"/>
      <c r="CX284" s="133"/>
      <c r="CY284" s="133"/>
      <c r="CZ284" s="133"/>
      <c r="DA284" s="133"/>
      <c r="DB284" s="133"/>
      <c r="DC284" s="133"/>
      <c r="DD284" s="133"/>
      <c r="DE284" s="133"/>
      <c r="DF284" s="133"/>
      <c r="DG284" s="133"/>
      <c r="DH284" s="133"/>
      <c r="DI284" s="133"/>
      <c r="DJ284" s="133"/>
      <c r="DK284" s="133"/>
      <c r="DL284" s="133"/>
      <c r="DM284" s="133"/>
      <c r="DN284" s="133"/>
      <c r="DO284" s="133"/>
      <c r="DP284" s="133"/>
      <c r="DQ284" s="133"/>
      <c r="DR284" s="133"/>
      <c r="DS284" s="133"/>
      <c r="DT284" s="133"/>
      <c r="DU284" s="133"/>
      <c r="DV284" s="133"/>
      <c r="DW284" s="133"/>
      <c r="DX284" s="133"/>
      <c r="DY284" s="133"/>
      <c r="DZ284" s="133"/>
      <c r="EA284" s="133"/>
      <c r="EB284" s="133"/>
      <c r="EC284" s="133"/>
      <c r="ED284" s="133"/>
      <c r="EE284" s="133"/>
      <c r="EF284" s="133"/>
      <c r="EG284" s="133"/>
      <c r="EH284" s="133"/>
      <c r="EI284" s="133"/>
      <c r="EJ284" s="133"/>
      <c r="EK284" s="133"/>
      <c r="EL284" s="133"/>
      <c r="EM284" s="133"/>
      <c r="EN284" s="133"/>
      <c r="EO284" s="133"/>
      <c r="EP284" s="133"/>
      <c r="EQ284" s="133"/>
      <c r="ER284" s="133"/>
      <c r="ES284" s="133"/>
      <c r="ET284" s="133"/>
      <c r="EU284" s="133"/>
      <c r="EV284" s="133"/>
      <c r="EW284" s="133"/>
      <c r="EX284" s="133"/>
      <c r="EY284" s="133"/>
      <c r="EZ284" s="133"/>
      <c r="FA284" s="133"/>
      <c r="FB284" s="133"/>
      <c r="FC284" s="133"/>
      <c r="FD284" s="133"/>
      <c r="FE284" s="133"/>
      <c r="FF284" s="133"/>
      <c r="FG284" s="133"/>
      <c r="FH284" s="133"/>
      <c r="FI284" s="133"/>
      <c r="FJ284" s="133"/>
      <c r="FK284" s="133"/>
      <c r="FL284" s="133"/>
      <c r="FM284" s="133"/>
      <c r="FN284" s="133"/>
      <c r="FO284" s="133"/>
      <c r="FP284" s="133"/>
      <c r="FQ284" s="133"/>
      <c r="FR284" s="133"/>
      <c r="FS284" s="133"/>
      <c r="FT284" s="133"/>
      <c r="FU284" s="133"/>
      <c r="FV284" s="133"/>
      <c r="FW284" s="133"/>
      <c r="FX284" s="133"/>
      <c r="FY284" s="133"/>
      <c r="FZ284" s="133"/>
      <c r="GA284" s="133"/>
      <c r="GB284" s="133"/>
      <c r="GC284" s="133"/>
      <c r="GD284" s="133"/>
      <c r="GE284" s="133"/>
      <c r="GF284" s="133"/>
      <c r="GG284" s="133"/>
      <c r="GH284" s="133"/>
      <c r="GI284" s="133"/>
    </row>
    <row r="285" spans="1:17" s="145" customFormat="1" ht="30">
      <c r="A285" s="327">
        <f>A283+1</f>
        <v>53</v>
      </c>
      <c r="B285" s="97" t="s">
        <v>734</v>
      </c>
      <c r="C285" s="66" t="s">
        <v>695</v>
      </c>
      <c r="D285" s="326">
        <v>66</v>
      </c>
      <c r="E285" s="326">
        <v>66</v>
      </c>
      <c r="F285" s="326">
        <v>66</v>
      </c>
      <c r="G285" s="326">
        <v>68</v>
      </c>
      <c r="H285" s="326">
        <v>68</v>
      </c>
      <c r="I285" s="162">
        <f aca="true" t="shared" si="109" ref="I285:J288">H285*0.99</f>
        <v>67.32</v>
      </c>
      <c r="J285" s="163">
        <f t="shared" si="109"/>
        <v>66.6468</v>
      </c>
      <c r="K285" s="179"/>
      <c r="L285" s="180"/>
      <c r="M285" s="180"/>
      <c r="N285" s="180"/>
      <c r="O285" s="180"/>
      <c r="P285" s="180"/>
      <c r="Q285" s="180"/>
    </row>
    <row r="286" spans="1:17" s="145" customFormat="1" ht="30">
      <c r="A286" s="327">
        <f aca="true" t="shared" si="110" ref="A286:A291">A285+1</f>
        <v>54</v>
      </c>
      <c r="B286" s="97" t="s">
        <v>936</v>
      </c>
      <c r="C286" s="66" t="s">
        <v>1234</v>
      </c>
      <c r="D286" s="326" t="s">
        <v>998</v>
      </c>
      <c r="E286" s="326" t="s">
        <v>998</v>
      </c>
      <c r="F286" s="326" t="s">
        <v>998</v>
      </c>
      <c r="G286" s="326" t="s">
        <v>998</v>
      </c>
      <c r="H286" s="326">
        <f>1+1</f>
        <v>2</v>
      </c>
      <c r="I286" s="162">
        <f t="shared" si="109"/>
        <v>1.98</v>
      </c>
      <c r="J286" s="163">
        <f t="shared" si="109"/>
        <v>1.9602</v>
      </c>
      <c r="K286" s="179"/>
      <c r="L286" s="180"/>
      <c r="M286" s="180"/>
      <c r="N286" s="180"/>
      <c r="O286" s="180"/>
      <c r="P286" s="180"/>
      <c r="Q286" s="180"/>
    </row>
    <row r="287" spans="1:17" s="145" customFormat="1" ht="15.75">
      <c r="A287" s="327">
        <f t="shared" si="110"/>
        <v>55</v>
      </c>
      <c r="B287" s="97" t="s">
        <v>735</v>
      </c>
      <c r="C287" s="66" t="s">
        <v>75</v>
      </c>
      <c r="D287" s="326">
        <v>55</v>
      </c>
      <c r="E287" s="326">
        <v>55</v>
      </c>
      <c r="F287" s="326">
        <v>56</v>
      </c>
      <c r="G287" s="326">
        <v>57</v>
      </c>
      <c r="H287" s="326">
        <v>57</v>
      </c>
      <c r="I287" s="162">
        <f t="shared" si="109"/>
        <v>56.43</v>
      </c>
      <c r="J287" s="163">
        <f t="shared" si="109"/>
        <v>55.8657</v>
      </c>
      <c r="K287" s="179"/>
      <c r="L287" s="180"/>
      <c r="M287" s="180"/>
      <c r="N287" s="180"/>
      <c r="O287" s="180"/>
      <c r="P287" s="180"/>
      <c r="Q287" s="180"/>
    </row>
    <row r="288" spans="1:17" s="145" customFormat="1" ht="15.75">
      <c r="A288" s="327">
        <f t="shared" si="110"/>
        <v>56</v>
      </c>
      <c r="B288" s="97" t="s">
        <v>349</v>
      </c>
      <c r="C288" s="66" t="s">
        <v>714</v>
      </c>
      <c r="D288" s="326">
        <v>25</v>
      </c>
      <c r="E288" s="326">
        <f>25+1</f>
        <v>26</v>
      </c>
      <c r="F288" s="326">
        <v>25</v>
      </c>
      <c r="G288" s="326">
        <f>26+1</f>
        <v>27</v>
      </c>
      <c r="H288" s="326">
        <v>26</v>
      </c>
      <c r="I288" s="162">
        <f t="shared" si="109"/>
        <v>25.74</v>
      </c>
      <c r="J288" s="163">
        <f t="shared" si="109"/>
        <v>25.482599999999998</v>
      </c>
      <c r="K288" s="179"/>
      <c r="L288" s="180"/>
      <c r="M288" s="180"/>
      <c r="N288" s="180"/>
      <c r="O288" s="180"/>
      <c r="P288" s="180"/>
      <c r="Q288" s="180"/>
    </row>
    <row r="289" spans="1:17" s="145" customFormat="1" ht="15.75">
      <c r="A289" s="327">
        <f t="shared" si="110"/>
        <v>57</v>
      </c>
      <c r="B289" s="97" t="s">
        <v>350</v>
      </c>
      <c r="C289" s="66" t="s">
        <v>715</v>
      </c>
      <c r="D289" s="326">
        <v>70</v>
      </c>
      <c r="E289" s="326">
        <v>71</v>
      </c>
      <c r="F289" s="326">
        <v>73</v>
      </c>
      <c r="G289" s="326">
        <v>73</v>
      </c>
      <c r="H289" s="326">
        <v>76</v>
      </c>
      <c r="I289" s="162">
        <v>75.54</v>
      </c>
      <c r="J289" s="163">
        <v>75.0846</v>
      </c>
      <c r="K289" s="179"/>
      <c r="L289" s="180"/>
      <c r="M289" s="180"/>
      <c r="N289" s="180"/>
      <c r="O289" s="180"/>
      <c r="P289" s="180"/>
      <c r="Q289" s="180"/>
    </row>
    <row r="290" spans="1:17" s="145" customFormat="1" ht="15.75">
      <c r="A290" s="327">
        <f t="shared" si="110"/>
        <v>58</v>
      </c>
      <c r="B290" s="97" t="s">
        <v>1011</v>
      </c>
      <c r="C290" s="15" t="s">
        <v>1010</v>
      </c>
      <c r="D290" s="167">
        <v>46</v>
      </c>
      <c r="E290" s="167">
        <f>47</f>
        <v>47</v>
      </c>
      <c r="F290" s="167">
        <f>56+1</f>
        <v>57</v>
      </c>
      <c r="G290" s="167">
        <f>50+1</f>
        <v>51</v>
      </c>
      <c r="H290" s="167">
        <f>50+1</f>
        <v>51</v>
      </c>
      <c r="I290" s="162">
        <f>50+1</f>
        <v>51</v>
      </c>
      <c r="J290" s="163">
        <f>49+1</f>
        <v>50</v>
      </c>
      <c r="K290" s="179"/>
      <c r="L290" s="180"/>
      <c r="M290" s="180"/>
      <c r="N290" s="180"/>
      <c r="O290" s="180"/>
      <c r="P290" s="180"/>
      <c r="Q290" s="180"/>
    </row>
    <row r="291" spans="1:17" s="145" customFormat="1" ht="30">
      <c r="A291" s="327">
        <f t="shared" si="110"/>
        <v>59</v>
      </c>
      <c r="B291" s="97" t="s">
        <v>351</v>
      </c>
      <c r="C291" s="15" t="s">
        <v>1149</v>
      </c>
      <c r="D291" s="167" t="s">
        <v>998</v>
      </c>
      <c r="E291" s="167">
        <v>1</v>
      </c>
      <c r="F291" s="167">
        <v>1</v>
      </c>
      <c r="G291" s="167">
        <v>1</v>
      </c>
      <c r="H291" s="167">
        <v>1</v>
      </c>
      <c r="I291" s="162">
        <f>50+1</f>
        <v>51</v>
      </c>
      <c r="J291" s="163">
        <f>49+1</f>
        <v>50</v>
      </c>
      <c r="K291" s="179"/>
      <c r="L291" s="180"/>
      <c r="M291" s="180"/>
      <c r="N291" s="180"/>
      <c r="O291" s="180"/>
      <c r="P291" s="180"/>
      <c r="Q291" s="180"/>
    </row>
    <row r="292" spans="1:191" s="135" customFormat="1" ht="21" customHeight="1">
      <c r="A292" s="406" t="s">
        <v>29</v>
      </c>
      <c r="B292" s="406"/>
      <c r="C292" s="406"/>
      <c r="D292" s="406"/>
      <c r="E292" s="406"/>
      <c r="F292" s="406"/>
      <c r="G292" s="406"/>
      <c r="H292" s="406"/>
      <c r="I292" s="406"/>
      <c r="J292" s="406"/>
      <c r="K292" s="406"/>
      <c r="L292" s="406"/>
      <c r="M292" s="406"/>
      <c r="N292" s="406"/>
      <c r="O292" s="406"/>
      <c r="P292" s="406"/>
      <c r="Q292" s="406"/>
      <c r="R292" s="149"/>
      <c r="S292" s="149"/>
      <c r="T292" s="134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  <c r="AF292" s="133"/>
      <c r="AG292" s="133"/>
      <c r="AH292" s="133"/>
      <c r="AI292" s="133"/>
      <c r="AJ292" s="133"/>
      <c r="AK292" s="133"/>
      <c r="AL292" s="133"/>
      <c r="AM292" s="133"/>
      <c r="AN292" s="133"/>
      <c r="AO292" s="133"/>
      <c r="AP292" s="133"/>
      <c r="AQ292" s="133"/>
      <c r="AR292" s="133"/>
      <c r="AS292" s="133"/>
      <c r="AT292" s="133"/>
      <c r="AU292" s="133"/>
      <c r="AV292" s="133"/>
      <c r="AW292" s="133"/>
      <c r="AX292" s="133"/>
      <c r="AY292" s="133"/>
      <c r="AZ292" s="133"/>
      <c r="BA292" s="133"/>
      <c r="BB292" s="133"/>
      <c r="BC292" s="133"/>
      <c r="BD292" s="133"/>
      <c r="BE292" s="133"/>
      <c r="BF292" s="133"/>
      <c r="BG292" s="133"/>
      <c r="BH292" s="133"/>
      <c r="BI292" s="133"/>
      <c r="BJ292" s="133"/>
      <c r="BK292" s="133"/>
      <c r="BL292" s="133"/>
      <c r="BM292" s="133"/>
      <c r="BN292" s="133"/>
      <c r="BO292" s="133"/>
      <c r="BP292" s="133"/>
      <c r="BQ292" s="133"/>
      <c r="BR292" s="133"/>
      <c r="BS292" s="133"/>
      <c r="BT292" s="133"/>
      <c r="BU292" s="133"/>
      <c r="BV292" s="133"/>
      <c r="BW292" s="133"/>
      <c r="BX292" s="133"/>
      <c r="BY292" s="133"/>
      <c r="BZ292" s="133"/>
      <c r="CA292" s="133"/>
      <c r="CB292" s="133"/>
      <c r="CC292" s="133"/>
      <c r="CD292" s="133"/>
      <c r="CE292" s="133"/>
      <c r="CF292" s="133"/>
      <c r="CG292" s="133"/>
      <c r="CH292" s="133"/>
      <c r="CI292" s="133"/>
      <c r="CJ292" s="133"/>
      <c r="CK292" s="133"/>
      <c r="CL292" s="133"/>
      <c r="CM292" s="133"/>
      <c r="CN292" s="133"/>
      <c r="CO292" s="133"/>
      <c r="CP292" s="133"/>
      <c r="CQ292" s="133"/>
      <c r="CR292" s="133"/>
      <c r="CS292" s="133"/>
      <c r="CT292" s="133"/>
      <c r="CU292" s="133"/>
      <c r="CV292" s="133"/>
      <c r="CW292" s="133"/>
      <c r="CX292" s="133"/>
      <c r="CY292" s="133"/>
      <c r="CZ292" s="133"/>
      <c r="DA292" s="133"/>
      <c r="DB292" s="133"/>
      <c r="DC292" s="133"/>
      <c r="DD292" s="133"/>
      <c r="DE292" s="133"/>
      <c r="DF292" s="133"/>
      <c r="DG292" s="133"/>
      <c r="DH292" s="133"/>
      <c r="DI292" s="133"/>
      <c r="DJ292" s="133"/>
      <c r="DK292" s="133"/>
      <c r="DL292" s="133"/>
      <c r="DM292" s="133"/>
      <c r="DN292" s="133"/>
      <c r="DO292" s="133"/>
      <c r="DP292" s="133"/>
      <c r="DQ292" s="133"/>
      <c r="DR292" s="133"/>
      <c r="DS292" s="133"/>
      <c r="DT292" s="133"/>
      <c r="DU292" s="133"/>
      <c r="DV292" s="133"/>
      <c r="DW292" s="133"/>
      <c r="DX292" s="133"/>
      <c r="DY292" s="133"/>
      <c r="DZ292" s="133"/>
      <c r="EA292" s="133"/>
      <c r="EB292" s="133"/>
      <c r="EC292" s="133"/>
      <c r="ED292" s="133"/>
      <c r="EE292" s="133"/>
      <c r="EF292" s="133"/>
      <c r="EG292" s="133"/>
      <c r="EH292" s="133"/>
      <c r="EI292" s="133"/>
      <c r="EJ292" s="133"/>
      <c r="EK292" s="133"/>
      <c r="EL292" s="133"/>
      <c r="EM292" s="133"/>
      <c r="EN292" s="133"/>
      <c r="EO292" s="133"/>
      <c r="EP292" s="133"/>
      <c r="EQ292" s="133"/>
      <c r="ER292" s="133"/>
      <c r="ES292" s="133"/>
      <c r="ET292" s="133"/>
      <c r="EU292" s="133"/>
      <c r="EV292" s="133"/>
      <c r="EW292" s="133"/>
      <c r="EX292" s="133"/>
      <c r="EY292" s="133"/>
      <c r="EZ292" s="133"/>
      <c r="FA292" s="133"/>
      <c r="FB292" s="133"/>
      <c r="FC292" s="133"/>
      <c r="FD292" s="133"/>
      <c r="FE292" s="133"/>
      <c r="FF292" s="133"/>
      <c r="FG292" s="133"/>
      <c r="FH292" s="133"/>
      <c r="FI292" s="133"/>
      <c r="FJ292" s="133"/>
      <c r="FK292" s="133"/>
      <c r="FL292" s="133"/>
      <c r="FM292" s="133"/>
      <c r="FN292" s="133"/>
      <c r="FO292" s="133"/>
      <c r="FP292" s="133"/>
      <c r="FQ292" s="133"/>
      <c r="FR292" s="133"/>
      <c r="FS292" s="133"/>
      <c r="FT292" s="133"/>
      <c r="FU292" s="133"/>
      <c r="FV292" s="133"/>
      <c r="FW292" s="133"/>
      <c r="FX292" s="133"/>
      <c r="FY292" s="133"/>
      <c r="FZ292" s="133"/>
      <c r="GA292" s="133"/>
      <c r="GB292" s="133"/>
      <c r="GC292" s="133"/>
      <c r="GD292" s="133"/>
      <c r="GE292" s="133"/>
      <c r="GF292" s="133"/>
      <c r="GG292" s="133"/>
      <c r="GH292" s="133"/>
      <c r="GI292" s="133"/>
    </row>
    <row r="293" spans="1:17" s="145" customFormat="1" ht="15.75">
      <c r="A293" s="327">
        <f>A291+1</f>
        <v>60</v>
      </c>
      <c r="B293" s="111" t="s">
        <v>835</v>
      </c>
      <c r="C293" s="66" t="s">
        <v>679</v>
      </c>
      <c r="D293" s="326">
        <v>185</v>
      </c>
      <c r="E293" s="326">
        <v>185</v>
      </c>
      <c r="F293" s="326">
        <v>185</v>
      </c>
      <c r="G293" s="326">
        <v>185</v>
      </c>
      <c r="H293" s="326">
        <v>185</v>
      </c>
      <c r="I293" s="162">
        <f aca="true" t="shared" si="111" ref="I293:J295">H293*0.99</f>
        <v>183.15</v>
      </c>
      <c r="J293" s="163">
        <f t="shared" si="111"/>
        <v>181.3185</v>
      </c>
      <c r="K293" s="178"/>
      <c r="L293" s="175"/>
      <c r="M293" s="175"/>
      <c r="N293" s="175"/>
      <c r="O293" s="175"/>
      <c r="P293" s="175"/>
      <c r="Q293" s="175"/>
    </row>
    <row r="294" spans="1:17" s="145" customFormat="1" ht="15.75">
      <c r="A294" s="327">
        <f>A293+1</f>
        <v>61</v>
      </c>
      <c r="B294" s="97" t="s">
        <v>839</v>
      </c>
      <c r="C294" s="66" t="s">
        <v>709</v>
      </c>
      <c r="D294" s="326">
        <v>45</v>
      </c>
      <c r="E294" s="326">
        <v>43</v>
      </c>
      <c r="F294" s="326">
        <v>42</v>
      </c>
      <c r="G294" s="326">
        <v>40</v>
      </c>
      <c r="H294" s="326">
        <v>40</v>
      </c>
      <c r="I294" s="162">
        <f t="shared" si="111"/>
        <v>39.6</v>
      </c>
      <c r="J294" s="163">
        <f t="shared" si="111"/>
        <v>39.204</v>
      </c>
      <c r="K294" s="178"/>
      <c r="L294" s="175"/>
      <c r="M294" s="175"/>
      <c r="N294" s="175"/>
      <c r="O294" s="175"/>
      <c r="P294" s="175"/>
      <c r="Q294" s="175"/>
    </row>
    <row r="295" spans="1:28" s="144" customFormat="1" ht="15.75">
      <c r="A295" s="327">
        <f aca="true" t="shared" si="112" ref="A295:A305">A294+1</f>
        <v>62</v>
      </c>
      <c r="B295" s="97" t="s">
        <v>95</v>
      </c>
      <c r="C295" s="15" t="s">
        <v>96</v>
      </c>
      <c r="D295" s="162">
        <v>4</v>
      </c>
      <c r="E295" s="162" t="s">
        <v>556</v>
      </c>
      <c r="F295" s="162">
        <v>1</v>
      </c>
      <c r="G295" s="162">
        <v>1</v>
      </c>
      <c r="H295" s="162">
        <v>1</v>
      </c>
      <c r="I295" s="162">
        <f t="shared" si="111"/>
        <v>0.99</v>
      </c>
      <c r="J295" s="163">
        <f t="shared" si="111"/>
        <v>0.9801</v>
      </c>
      <c r="K295" s="178"/>
      <c r="L295" s="175"/>
      <c r="M295" s="175"/>
      <c r="N295" s="175"/>
      <c r="O295" s="175"/>
      <c r="P295" s="175"/>
      <c r="Q295" s="175"/>
      <c r="R295" s="143"/>
      <c r="S295" s="143"/>
      <c r="T295" s="143"/>
      <c r="U295" s="143"/>
      <c r="V295" s="143"/>
      <c r="W295" s="143"/>
      <c r="X295" s="143"/>
      <c r="Y295" s="143"/>
      <c r="Z295" s="143"/>
      <c r="AA295" s="143"/>
      <c r="AB295" s="143"/>
    </row>
    <row r="296" spans="1:28" s="144" customFormat="1" ht="15.75">
      <c r="A296" s="327">
        <f t="shared" si="112"/>
        <v>63</v>
      </c>
      <c r="B296" s="111" t="s">
        <v>862</v>
      </c>
      <c r="C296" s="15" t="s">
        <v>863</v>
      </c>
      <c r="D296" s="162">
        <v>24</v>
      </c>
      <c r="E296" s="162">
        <v>22</v>
      </c>
      <c r="F296" s="162">
        <v>25</v>
      </c>
      <c r="G296" s="162">
        <v>20</v>
      </c>
      <c r="H296" s="162">
        <v>20</v>
      </c>
      <c r="I296" s="162">
        <v>19.8</v>
      </c>
      <c r="J296" s="163">
        <v>19.602</v>
      </c>
      <c r="K296" s="178"/>
      <c r="L296" s="175"/>
      <c r="M296" s="175"/>
      <c r="N296" s="175"/>
      <c r="O296" s="175"/>
      <c r="P296" s="175"/>
      <c r="Q296" s="175"/>
      <c r="R296" s="143"/>
      <c r="S296" s="143"/>
      <c r="T296" s="143"/>
      <c r="U296" s="143"/>
      <c r="V296" s="143"/>
      <c r="W296" s="143"/>
      <c r="X296" s="143"/>
      <c r="Y296" s="143"/>
      <c r="Z296" s="143"/>
      <c r="AA296" s="143"/>
      <c r="AB296" s="143"/>
    </row>
    <row r="297" spans="1:28" s="144" customFormat="1" ht="15.75">
      <c r="A297" s="327">
        <f t="shared" si="112"/>
        <v>64</v>
      </c>
      <c r="B297" s="97" t="s">
        <v>38</v>
      </c>
      <c r="C297" s="66" t="s">
        <v>457</v>
      </c>
      <c r="D297" s="162">
        <f>16+5</f>
        <v>21</v>
      </c>
      <c r="E297" s="162">
        <f>23+1+1+2+2-2+1</f>
        <v>28</v>
      </c>
      <c r="F297" s="162">
        <f>13+1+1+1-1+1</f>
        <v>16</v>
      </c>
      <c r="G297" s="162">
        <f>9+1+1+1</f>
        <v>12</v>
      </c>
      <c r="H297" s="162">
        <v>10</v>
      </c>
      <c r="I297" s="162">
        <f>H297*0.99</f>
        <v>9.9</v>
      </c>
      <c r="J297" s="163">
        <f>I297*0.99</f>
        <v>9.801</v>
      </c>
      <c r="K297" s="178"/>
      <c r="L297" s="175"/>
      <c r="M297" s="175"/>
      <c r="N297" s="175"/>
      <c r="O297" s="175"/>
      <c r="P297" s="175"/>
      <c r="Q297" s="175"/>
      <c r="R297" s="143"/>
      <c r="S297" s="143"/>
      <c r="T297" s="143"/>
      <c r="U297" s="143"/>
      <c r="V297" s="143"/>
      <c r="W297" s="143"/>
      <c r="X297" s="143"/>
      <c r="Y297" s="143"/>
      <c r="Z297" s="143"/>
      <c r="AA297" s="143"/>
      <c r="AB297" s="143"/>
    </row>
    <row r="298" spans="1:28" s="144" customFormat="1" ht="15.75">
      <c r="A298" s="327">
        <f t="shared" si="112"/>
        <v>65</v>
      </c>
      <c r="B298" s="97" t="s">
        <v>455</v>
      </c>
      <c r="C298" s="66" t="s">
        <v>108</v>
      </c>
      <c r="D298" s="162">
        <v>4</v>
      </c>
      <c r="E298" s="162">
        <v>3</v>
      </c>
      <c r="F298" s="162">
        <v>3</v>
      </c>
      <c r="G298" s="162">
        <v>3</v>
      </c>
      <c r="H298" s="162">
        <v>3</v>
      </c>
      <c r="I298" s="162">
        <f>H298*0.99</f>
        <v>2.9699999999999998</v>
      </c>
      <c r="J298" s="163">
        <f>I298*0.99</f>
        <v>2.9402999999999997</v>
      </c>
      <c r="K298" s="178"/>
      <c r="L298" s="175"/>
      <c r="M298" s="175"/>
      <c r="N298" s="175"/>
      <c r="O298" s="175"/>
      <c r="P298" s="175"/>
      <c r="Q298" s="175"/>
      <c r="R298" s="143"/>
      <c r="S298" s="143"/>
      <c r="T298" s="143"/>
      <c r="U298" s="143"/>
      <c r="V298" s="143"/>
      <c r="W298" s="143"/>
      <c r="X298" s="143"/>
      <c r="Y298" s="143"/>
      <c r="Z298" s="143"/>
      <c r="AA298" s="143"/>
      <c r="AB298" s="143"/>
    </row>
    <row r="299" spans="1:28" s="144" customFormat="1" ht="15.75">
      <c r="A299" s="327">
        <f t="shared" si="112"/>
        <v>66</v>
      </c>
      <c r="B299" s="142" t="s">
        <v>71</v>
      </c>
      <c r="C299" s="66" t="s">
        <v>41</v>
      </c>
      <c r="D299" s="162">
        <v>34</v>
      </c>
      <c r="E299" s="162">
        <f>29+1</f>
        <v>30</v>
      </c>
      <c r="F299" s="162">
        <v>29</v>
      </c>
      <c r="G299" s="162">
        <v>25</v>
      </c>
      <c r="H299" s="162">
        <v>27</v>
      </c>
      <c r="I299" s="162">
        <v>26.73</v>
      </c>
      <c r="J299" s="163">
        <v>26.4627</v>
      </c>
      <c r="K299" s="178"/>
      <c r="L299" s="175"/>
      <c r="M299" s="175"/>
      <c r="N299" s="175"/>
      <c r="O299" s="175"/>
      <c r="P299" s="175"/>
      <c r="Q299" s="175"/>
      <c r="R299" s="143"/>
      <c r="S299" s="143"/>
      <c r="T299" s="143"/>
      <c r="U299" s="143"/>
      <c r="V299" s="143"/>
      <c r="W299" s="143"/>
      <c r="X299" s="143"/>
      <c r="Y299" s="143"/>
      <c r="Z299" s="143"/>
      <c r="AA299" s="143"/>
      <c r="AB299" s="143"/>
    </row>
    <row r="300" spans="1:28" s="144" customFormat="1" ht="15.75">
      <c r="A300" s="327">
        <f t="shared" si="112"/>
        <v>67</v>
      </c>
      <c r="B300" s="142" t="s">
        <v>114</v>
      </c>
      <c r="C300" s="66" t="s">
        <v>113</v>
      </c>
      <c r="D300" s="162">
        <v>189</v>
      </c>
      <c r="E300" s="162">
        <v>188</v>
      </c>
      <c r="F300" s="162">
        <v>180</v>
      </c>
      <c r="G300" s="162">
        <v>170</v>
      </c>
      <c r="H300" s="162">
        <v>167</v>
      </c>
      <c r="I300" s="162">
        <f aca="true" t="shared" si="113" ref="I300:J305">H300*0.99</f>
        <v>165.33</v>
      </c>
      <c r="J300" s="163">
        <f t="shared" si="113"/>
        <v>163.6767</v>
      </c>
      <c r="K300" s="178"/>
      <c r="L300" s="175"/>
      <c r="M300" s="175"/>
      <c r="N300" s="175"/>
      <c r="O300" s="175"/>
      <c r="P300" s="175"/>
      <c r="Q300" s="175"/>
      <c r="R300" s="143"/>
      <c r="S300" s="143"/>
      <c r="T300" s="143"/>
      <c r="U300" s="143"/>
      <c r="V300" s="143"/>
      <c r="W300" s="143"/>
      <c r="X300" s="143"/>
      <c r="Y300" s="143"/>
      <c r="Z300" s="143"/>
      <c r="AA300" s="143"/>
      <c r="AB300" s="143"/>
    </row>
    <row r="301" spans="1:28" s="144" customFormat="1" ht="15.75">
      <c r="A301" s="327">
        <f t="shared" si="112"/>
        <v>68</v>
      </c>
      <c r="B301" s="142" t="s">
        <v>838</v>
      </c>
      <c r="C301" s="66" t="s">
        <v>872</v>
      </c>
      <c r="D301" s="162">
        <v>2</v>
      </c>
      <c r="E301" s="162">
        <f>1+1</f>
        <v>2</v>
      </c>
      <c r="F301" s="162" t="s">
        <v>998</v>
      </c>
      <c r="G301" s="162" t="s">
        <v>998</v>
      </c>
      <c r="H301" s="162" t="s">
        <v>998</v>
      </c>
      <c r="I301" s="162" t="s">
        <v>998</v>
      </c>
      <c r="J301" s="163" t="s">
        <v>998</v>
      </c>
      <c r="K301" s="178"/>
      <c r="L301" s="175"/>
      <c r="M301" s="175"/>
      <c r="N301" s="175"/>
      <c r="O301" s="175"/>
      <c r="P301" s="175"/>
      <c r="Q301" s="175"/>
      <c r="R301" s="143"/>
      <c r="S301" s="143"/>
      <c r="T301" s="143"/>
      <c r="U301" s="143"/>
      <c r="V301" s="143"/>
      <c r="W301" s="143"/>
      <c r="X301" s="143"/>
      <c r="Y301" s="143"/>
      <c r="Z301" s="143"/>
      <c r="AA301" s="143"/>
      <c r="AB301" s="143"/>
    </row>
    <row r="302" spans="1:28" s="144" customFormat="1" ht="15.75">
      <c r="A302" s="327">
        <f t="shared" si="112"/>
        <v>69</v>
      </c>
      <c r="B302" s="142" t="s">
        <v>1045</v>
      </c>
      <c r="C302" s="66" t="s">
        <v>1046</v>
      </c>
      <c r="D302" s="162">
        <v>3</v>
      </c>
      <c r="E302" s="162">
        <v>2</v>
      </c>
      <c r="F302" s="162">
        <v>1</v>
      </c>
      <c r="G302" s="162">
        <v>1</v>
      </c>
      <c r="H302" s="162" t="s">
        <v>998</v>
      </c>
      <c r="I302" s="162" t="s">
        <v>998</v>
      </c>
      <c r="J302" s="163" t="s">
        <v>998</v>
      </c>
      <c r="K302" s="178"/>
      <c r="L302" s="175"/>
      <c r="M302" s="175"/>
      <c r="N302" s="175"/>
      <c r="O302" s="175"/>
      <c r="P302" s="175"/>
      <c r="Q302" s="175"/>
      <c r="R302" s="143"/>
      <c r="S302" s="143"/>
      <c r="T302" s="143"/>
      <c r="U302" s="143"/>
      <c r="V302" s="143"/>
      <c r="W302" s="143"/>
      <c r="X302" s="143"/>
      <c r="Y302" s="143"/>
      <c r="Z302" s="143"/>
      <c r="AA302" s="143"/>
      <c r="AB302" s="143"/>
    </row>
    <row r="303" spans="1:28" s="144" customFormat="1" ht="15.75">
      <c r="A303" s="327">
        <f t="shared" si="112"/>
        <v>70</v>
      </c>
      <c r="B303" s="142" t="s">
        <v>937</v>
      </c>
      <c r="C303" s="66" t="s">
        <v>1235</v>
      </c>
      <c r="D303" s="162" t="s">
        <v>998</v>
      </c>
      <c r="E303" s="162" t="s">
        <v>998</v>
      </c>
      <c r="F303" s="162" t="s">
        <v>998</v>
      </c>
      <c r="G303" s="162">
        <v>1</v>
      </c>
      <c r="H303" s="162" t="s">
        <v>998</v>
      </c>
      <c r="I303" s="162" t="s">
        <v>998</v>
      </c>
      <c r="J303" s="163" t="s">
        <v>998</v>
      </c>
      <c r="K303" s="178"/>
      <c r="L303" s="175"/>
      <c r="M303" s="175"/>
      <c r="N303" s="175"/>
      <c r="O303" s="175"/>
      <c r="P303" s="175"/>
      <c r="Q303" s="175"/>
      <c r="R303" s="143"/>
      <c r="S303" s="143"/>
      <c r="T303" s="143"/>
      <c r="U303" s="143"/>
      <c r="V303" s="143"/>
      <c r="W303" s="143"/>
      <c r="X303" s="143"/>
      <c r="Y303" s="143"/>
      <c r="Z303" s="143"/>
      <c r="AA303" s="143"/>
      <c r="AB303" s="143"/>
    </row>
    <row r="304" spans="1:17" s="145" customFormat="1" ht="15.75">
      <c r="A304" s="327">
        <f t="shared" si="112"/>
        <v>71</v>
      </c>
      <c r="B304" s="97" t="s">
        <v>836</v>
      </c>
      <c r="C304" s="66" t="s">
        <v>710</v>
      </c>
      <c r="D304" s="326">
        <v>55</v>
      </c>
      <c r="E304" s="326">
        <v>53</v>
      </c>
      <c r="F304" s="326">
        <v>52</v>
      </c>
      <c r="G304" s="326">
        <v>50</v>
      </c>
      <c r="H304" s="326">
        <v>50</v>
      </c>
      <c r="I304" s="162">
        <f t="shared" si="113"/>
        <v>49.5</v>
      </c>
      <c r="J304" s="163">
        <f t="shared" si="113"/>
        <v>49.005</v>
      </c>
      <c r="K304" s="178"/>
      <c r="L304" s="175"/>
      <c r="M304" s="175"/>
      <c r="N304" s="175"/>
      <c r="O304" s="175"/>
      <c r="P304" s="175"/>
      <c r="Q304" s="175"/>
    </row>
    <row r="305" spans="1:17" s="145" customFormat="1" ht="15.75">
      <c r="A305" s="327">
        <f t="shared" si="112"/>
        <v>72</v>
      </c>
      <c r="B305" s="97" t="s">
        <v>837</v>
      </c>
      <c r="C305" s="66" t="s">
        <v>711</v>
      </c>
      <c r="D305" s="326">
        <v>71</v>
      </c>
      <c r="E305" s="326">
        <v>71</v>
      </c>
      <c r="F305" s="326">
        <v>71</v>
      </c>
      <c r="G305" s="326">
        <v>71</v>
      </c>
      <c r="H305" s="326">
        <v>72</v>
      </c>
      <c r="I305" s="162">
        <f t="shared" si="113"/>
        <v>71.28</v>
      </c>
      <c r="J305" s="163">
        <f t="shared" si="113"/>
        <v>70.5672</v>
      </c>
      <c r="K305" s="178"/>
      <c r="L305" s="175"/>
      <c r="M305" s="175"/>
      <c r="N305" s="175"/>
      <c r="O305" s="175"/>
      <c r="P305" s="175"/>
      <c r="Q305" s="175"/>
    </row>
    <row r="306" spans="1:191" s="135" customFormat="1" ht="21" customHeight="1">
      <c r="A306" s="406" t="s">
        <v>30</v>
      </c>
      <c r="B306" s="406"/>
      <c r="C306" s="406"/>
      <c r="D306" s="406"/>
      <c r="E306" s="406"/>
      <c r="F306" s="406"/>
      <c r="G306" s="406"/>
      <c r="H306" s="406"/>
      <c r="I306" s="406"/>
      <c r="J306" s="406"/>
      <c r="K306" s="406"/>
      <c r="L306" s="406"/>
      <c r="M306" s="406"/>
      <c r="N306" s="406"/>
      <c r="O306" s="406"/>
      <c r="P306" s="406"/>
      <c r="Q306" s="406"/>
      <c r="R306" s="146"/>
      <c r="S306" s="146"/>
      <c r="T306" s="134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  <c r="AF306" s="133"/>
      <c r="AG306" s="133"/>
      <c r="AH306" s="133"/>
      <c r="AI306" s="133"/>
      <c r="AJ306" s="133"/>
      <c r="AK306" s="133"/>
      <c r="AL306" s="133"/>
      <c r="AM306" s="133"/>
      <c r="AN306" s="133"/>
      <c r="AO306" s="133"/>
      <c r="AP306" s="133"/>
      <c r="AQ306" s="133"/>
      <c r="AR306" s="133"/>
      <c r="AS306" s="133"/>
      <c r="AT306" s="133"/>
      <c r="AU306" s="133"/>
      <c r="AV306" s="133"/>
      <c r="AW306" s="133"/>
      <c r="AX306" s="133"/>
      <c r="AY306" s="133"/>
      <c r="AZ306" s="133"/>
      <c r="BA306" s="133"/>
      <c r="BB306" s="133"/>
      <c r="BC306" s="133"/>
      <c r="BD306" s="133"/>
      <c r="BE306" s="133"/>
      <c r="BF306" s="133"/>
      <c r="BG306" s="133"/>
      <c r="BH306" s="133"/>
      <c r="BI306" s="133"/>
      <c r="BJ306" s="133"/>
      <c r="BK306" s="133"/>
      <c r="BL306" s="133"/>
      <c r="BM306" s="133"/>
      <c r="BN306" s="133"/>
      <c r="BO306" s="133"/>
      <c r="BP306" s="133"/>
      <c r="BQ306" s="133"/>
      <c r="BR306" s="133"/>
      <c r="BS306" s="133"/>
      <c r="BT306" s="133"/>
      <c r="BU306" s="133"/>
      <c r="BV306" s="133"/>
      <c r="BW306" s="133"/>
      <c r="BX306" s="133"/>
      <c r="BY306" s="133"/>
      <c r="BZ306" s="133"/>
      <c r="CA306" s="133"/>
      <c r="CB306" s="133"/>
      <c r="CC306" s="133"/>
      <c r="CD306" s="133"/>
      <c r="CE306" s="133"/>
      <c r="CF306" s="133"/>
      <c r="CG306" s="133"/>
      <c r="CH306" s="133"/>
      <c r="CI306" s="133"/>
      <c r="CJ306" s="133"/>
      <c r="CK306" s="133"/>
      <c r="CL306" s="133"/>
      <c r="CM306" s="133"/>
      <c r="CN306" s="133"/>
      <c r="CO306" s="133"/>
      <c r="CP306" s="133"/>
      <c r="CQ306" s="133"/>
      <c r="CR306" s="133"/>
      <c r="CS306" s="133"/>
      <c r="CT306" s="133"/>
      <c r="CU306" s="133"/>
      <c r="CV306" s="133"/>
      <c r="CW306" s="133"/>
      <c r="CX306" s="133"/>
      <c r="CY306" s="133"/>
      <c r="CZ306" s="133"/>
      <c r="DA306" s="133"/>
      <c r="DB306" s="133"/>
      <c r="DC306" s="133"/>
      <c r="DD306" s="133"/>
      <c r="DE306" s="133"/>
      <c r="DF306" s="133"/>
      <c r="DG306" s="133"/>
      <c r="DH306" s="133"/>
      <c r="DI306" s="133"/>
      <c r="DJ306" s="133"/>
      <c r="DK306" s="133"/>
      <c r="DL306" s="133"/>
      <c r="DM306" s="133"/>
      <c r="DN306" s="133"/>
      <c r="DO306" s="133"/>
      <c r="DP306" s="133"/>
      <c r="DQ306" s="133"/>
      <c r="DR306" s="133"/>
      <c r="DS306" s="133"/>
      <c r="DT306" s="133"/>
      <c r="DU306" s="133"/>
      <c r="DV306" s="133"/>
      <c r="DW306" s="133"/>
      <c r="DX306" s="133"/>
      <c r="DY306" s="133"/>
      <c r="DZ306" s="133"/>
      <c r="EA306" s="133"/>
      <c r="EB306" s="133"/>
      <c r="EC306" s="133"/>
      <c r="ED306" s="133"/>
      <c r="EE306" s="133"/>
      <c r="EF306" s="133"/>
      <c r="EG306" s="133"/>
      <c r="EH306" s="133"/>
      <c r="EI306" s="133"/>
      <c r="EJ306" s="133"/>
      <c r="EK306" s="133"/>
      <c r="EL306" s="133"/>
      <c r="EM306" s="133"/>
      <c r="EN306" s="133"/>
      <c r="EO306" s="133"/>
      <c r="EP306" s="133"/>
      <c r="EQ306" s="133"/>
      <c r="ER306" s="133"/>
      <c r="ES306" s="133"/>
      <c r="ET306" s="133"/>
      <c r="EU306" s="133"/>
      <c r="EV306" s="133"/>
      <c r="EW306" s="133"/>
      <c r="EX306" s="133"/>
      <c r="EY306" s="133"/>
      <c r="EZ306" s="133"/>
      <c r="FA306" s="133"/>
      <c r="FB306" s="133"/>
      <c r="FC306" s="133"/>
      <c r="FD306" s="133"/>
      <c r="FE306" s="133"/>
      <c r="FF306" s="133"/>
      <c r="FG306" s="133"/>
      <c r="FH306" s="133"/>
      <c r="FI306" s="133"/>
      <c r="FJ306" s="133"/>
      <c r="FK306" s="133"/>
      <c r="FL306" s="133"/>
      <c r="FM306" s="133"/>
      <c r="FN306" s="133"/>
      <c r="FO306" s="133"/>
      <c r="FP306" s="133"/>
      <c r="FQ306" s="133"/>
      <c r="FR306" s="133"/>
      <c r="FS306" s="133"/>
      <c r="FT306" s="133"/>
      <c r="FU306" s="133"/>
      <c r="FV306" s="133"/>
      <c r="FW306" s="133"/>
      <c r="FX306" s="133"/>
      <c r="FY306" s="133"/>
      <c r="FZ306" s="133"/>
      <c r="GA306" s="133"/>
      <c r="GB306" s="133"/>
      <c r="GC306" s="133"/>
      <c r="GD306" s="133"/>
      <c r="GE306" s="133"/>
      <c r="GF306" s="133"/>
      <c r="GG306" s="133"/>
      <c r="GH306" s="133"/>
      <c r="GI306" s="133"/>
    </row>
    <row r="307" spans="1:28" s="147" customFormat="1" ht="30" customHeight="1">
      <c r="A307" s="126">
        <f>A305+1</f>
        <v>73</v>
      </c>
      <c r="B307" s="106" t="s">
        <v>106</v>
      </c>
      <c r="C307" s="15" t="s">
        <v>107</v>
      </c>
      <c r="D307" s="162">
        <f>211-9</f>
        <v>202</v>
      </c>
      <c r="E307" s="162">
        <f>202-1</f>
        <v>201</v>
      </c>
      <c r="F307" s="162">
        <v>201</v>
      </c>
      <c r="G307" s="162">
        <v>202</v>
      </c>
      <c r="H307" s="162">
        <f>202-1</f>
        <v>201</v>
      </c>
      <c r="I307" s="162">
        <v>199.98</v>
      </c>
      <c r="J307" s="163">
        <v>197.9802</v>
      </c>
      <c r="K307" s="179"/>
      <c r="L307" s="180"/>
      <c r="M307" s="180"/>
      <c r="N307" s="180"/>
      <c r="O307" s="180"/>
      <c r="P307" s="180"/>
      <c r="Q307" s="180"/>
      <c r="R307" s="143"/>
      <c r="S307" s="143"/>
      <c r="T307" s="143"/>
      <c r="U307" s="143"/>
      <c r="V307" s="143"/>
      <c r="W307" s="143"/>
      <c r="X307" s="143"/>
      <c r="Y307" s="143"/>
      <c r="Z307" s="143"/>
      <c r="AA307" s="143"/>
      <c r="AB307" s="143"/>
    </row>
    <row r="308" spans="1:28" s="147" customFormat="1" ht="16.5" customHeight="1">
      <c r="A308" s="126">
        <f>A307+1</f>
        <v>74</v>
      </c>
      <c r="B308" s="105" t="s">
        <v>610</v>
      </c>
      <c r="C308" s="15" t="s">
        <v>609</v>
      </c>
      <c r="D308" s="162">
        <f>3-3+3</f>
        <v>3</v>
      </c>
      <c r="E308" s="162">
        <f>3-3+3</f>
        <v>3</v>
      </c>
      <c r="F308" s="162">
        <f>4-3+4</f>
        <v>5</v>
      </c>
      <c r="G308" s="162">
        <f>3-3+3</f>
        <v>3</v>
      </c>
      <c r="H308" s="162">
        <f>3-3+4</f>
        <v>4</v>
      </c>
      <c r="I308" s="162">
        <f>H308*0.99</f>
        <v>3.96</v>
      </c>
      <c r="J308" s="163">
        <f>I308*0.99</f>
        <v>3.9204</v>
      </c>
      <c r="K308" s="179"/>
      <c r="L308" s="180"/>
      <c r="M308" s="180"/>
      <c r="N308" s="180"/>
      <c r="O308" s="180"/>
      <c r="P308" s="180"/>
      <c r="Q308" s="180"/>
      <c r="R308" s="143"/>
      <c r="S308" s="143"/>
      <c r="T308" s="143"/>
      <c r="U308" s="143"/>
      <c r="V308" s="143"/>
      <c r="W308" s="143"/>
      <c r="X308" s="143"/>
      <c r="Y308" s="143"/>
      <c r="Z308" s="143"/>
      <c r="AA308" s="143"/>
      <c r="AB308" s="143"/>
    </row>
    <row r="309" spans="1:28" s="147" customFormat="1" ht="16.5" customHeight="1">
      <c r="A309" s="126">
        <f aca="true" t="shared" si="114" ref="A309:A338">A308+1</f>
        <v>75</v>
      </c>
      <c r="B309" s="97" t="s">
        <v>811</v>
      </c>
      <c r="C309" s="15" t="s">
        <v>812</v>
      </c>
      <c r="D309" s="162">
        <v>1</v>
      </c>
      <c r="E309" s="162">
        <v>1</v>
      </c>
      <c r="F309" s="162">
        <v>1</v>
      </c>
      <c r="G309" s="162" t="s">
        <v>556</v>
      </c>
      <c r="H309" s="162" t="s">
        <v>556</v>
      </c>
      <c r="I309" s="162" t="s">
        <v>556</v>
      </c>
      <c r="J309" s="163" t="s">
        <v>556</v>
      </c>
      <c r="K309" s="179"/>
      <c r="L309" s="180"/>
      <c r="M309" s="180"/>
      <c r="N309" s="175"/>
      <c r="O309" s="175"/>
      <c r="P309" s="175"/>
      <c r="Q309" s="175"/>
      <c r="R309" s="143"/>
      <c r="S309" s="143"/>
      <c r="T309" s="143"/>
      <c r="U309" s="143"/>
      <c r="V309" s="143"/>
      <c r="W309" s="143"/>
      <c r="X309" s="143"/>
      <c r="Y309" s="143"/>
      <c r="Z309" s="143"/>
      <c r="AA309" s="143"/>
      <c r="AB309" s="143"/>
    </row>
    <row r="310" spans="1:17" s="145" customFormat="1" ht="15.75">
      <c r="A310" s="126">
        <f t="shared" si="114"/>
        <v>76</v>
      </c>
      <c r="B310" s="106" t="s">
        <v>346</v>
      </c>
      <c r="C310" s="64" t="s">
        <v>698</v>
      </c>
      <c r="D310" s="326">
        <v>48</v>
      </c>
      <c r="E310" s="326">
        <v>48</v>
      </c>
      <c r="F310" s="326">
        <v>48</v>
      </c>
      <c r="G310" s="326">
        <v>48</v>
      </c>
      <c r="H310" s="326">
        <v>48</v>
      </c>
      <c r="I310" s="162">
        <f>H310*0.99</f>
        <v>47.519999999999996</v>
      </c>
      <c r="J310" s="163">
        <f>I310*0.99</f>
        <v>47.044799999999995</v>
      </c>
      <c r="K310" s="179"/>
      <c r="L310" s="180"/>
      <c r="M310" s="180"/>
      <c r="N310" s="180"/>
      <c r="O310" s="180"/>
      <c r="P310" s="180"/>
      <c r="Q310" s="180"/>
    </row>
    <row r="311" spans="1:17" s="145" customFormat="1" ht="15.75">
      <c r="A311" s="126">
        <f t="shared" si="114"/>
        <v>77</v>
      </c>
      <c r="B311" s="106" t="s">
        <v>347</v>
      </c>
      <c r="C311" s="64" t="s">
        <v>699</v>
      </c>
      <c r="D311" s="326">
        <v>6</v>
      </c>
      <c r="E311" s="326">
        <v>3</v>
      </c>
      <c r="F311" s="326">
        <v>2</v>
      </c>
      <c r="G311" s="326">
        <v>3</v>
      </c>
      <c r="H311" s="326">
        <v>4</v>
      </c>
      <c r="I311" s="162">
        <f>H311*0.99</f>
        <v>3.96</v>
      </c>
      <c r="J311" s="163">
        <f>I311*0.99</f>
        <v>3.9204</v>
      </c>
      <c r="K311" s="179"/>
      <c r="L311" s="180"/>
      <c r="M311" s="180"/>
      <c r="N311" s="180"/>
      <c r="O311" s="180"/>
      <c r="P311" s="180"/>
      <c r="Q311" s="180"/>
    </row>
    <row r="312" spans="1:17" s="145" customFormat="1" ht="15.75">
      <c r="A312" s="126">
        <f t="shared" si="114"/>
        <v>78</v>
      </c>
      <c r="B312" s="152" t="s">
        <v>109</v>
      </c>
      <c r="C312" s="196" t="s">
        <v>700</v>
      </c>
      <c r="D312" s="167">
        <v>174</v>
      </c>
      <c r="E312" s="167">
        <v>169</v>
      </c>
      <c r="F312" s="167">
        <v>169</v>
      </c>
      <c r="G312" s="167">
        <v>170</v>
      </c>
      <c r="H312" s="167">
        <v>170</v>
      </c>
      <c r="I312" s="167">
        <v>169</v>
      </c>
      <c r="J312" s="328">
        <v>168.01</v>
      </c>
      <c r="K312" s="187"/>
      <c r="L312" s="186"/>
      <c r="M312" s="186"/>
      <c r="N312" s="186"/>
      <c r="O312" s="186"/>
      <c r="P312" s="186"/>
      <c r="Q312" s="186"/>
    </row>
    <row r="313" spans="1:17" s="145" customFormat="1" ht="15.75">
      <c r="A313" s="126">
        <f t="shared" si="114"/>
        <v>79</v>
      </c>
      <c r="B313" s="150" t="s">
        <v>348</v>
      </c>
      <c r="C313" s="64" t="s">
        <v>701</v>
      </c>
      <c r="D313" s="326">
        <v>30</v>
      </c>
      <c r="E313" s="326">
        <v>30</v>
      </c>
      <c r="F313" s="326">
        <v>30</v>
      </c>
      <c r="G313" s="326">
        <v>30</v>
      </c>
      <c r="H313" s="326">
        <v>30</v>
      </c>
      <c r="I313" s="162">
        <f aca="true" t="shared" si="115" ref="I313:J317">H313*0.99</f>
        <v>29.7</v>
      </c>
      <c r="J313" s="163">
        <f t="shared" si="115"/>
        <v>29.403</v>
      </c>
      <c r="K313" s="179"/>
      <c r="L313" s="180"/>
      <c r="M313" s="180"/>
      <c r="N313" s="180"/>
      <c r="O313" s="180"/>
      <c r="P313" s="180"/>
      <c r="Q313" s="180"/>
    </row>
    <row r="314" spans="1:17" s="145" customFormat="1" ht="15.75">
      <c r="A314" s="126">
        <f t="shared" si="114"/>
        <v>80</v>
      </c>
      <c r="B314" s="150" t="s">
        <v>345</v>
      </c>
      <c r="C314" s="64" t="s">
        <v>702</v>
      </c>
      <c r="D314" s="326">
        <v>15</v>
      </c>
      <c r="E314" s="326">
        <v>15</v>
      </c>
      <c r="F314" s="326">
        <v>15</v>
      </c>
      <c r="G314" s="326">
        <v>15</v>
      </c>
      <c r="H314" s="326">
        <v>15</v>
      </c>
      <c r="I314" s="162">
        <f t="shared" si="115"/>
        <v>14.85</v>
      </c>
      <c r="J314" s="163">
        <f t="shared" si="115"/>
        <v>14.7015</v>
      </c>
      <c r="K314" s="179"/>
      <c r="L314" s="180"/>
      <c r="M314" s="180"/>
      <c r="N314" s="180"/>
      <c r="O314" s="180"/>
      <c r="P314" s="180"/>
      <c r="Q314" s="180"/>
    </row>
    <row r="315" spans="1:17" s="145" customFormat="1" ht="15.75">
      <c r="A315" s="126">
        <f t="shared" si="114"/>
        <v>81</v>
      </c>
      <c r="B315" s="150" t="s">
        <v>0</v>
      </c>
      <c r="C315" s="64" t="s">
        <v>1203</v>
      </c>
      <c r="D315" s="326" t="s">
        <v>998</v>
      </c>
      <c r="E315" s="326">
        <v>2</v>
      </c>
      <c r="F315" s="326" t="s">
        <v>998</v>
      </c>
      <c r="G315" s="326" t="s">
        <v>998</v>
      </c>
      <c r="H315" s="326" t="s">
        <v>998</v>
      </c>
      <c r="I315" s="162" t="s">
        <v>998</v>
      </c>
      <c r="J315" s="163" t="s">
        <v>998</v>
      </c>
      <c r="K315" s="179"/>
      <c r="L315" s="180"/>
      <c r="M315" s="180"/>
      <c r="N315" s="180"/>
      <c r="O315" s="180"/>
      <c r="P315" s="180"/>
      <c r="Q315" s="180"/>
    </row>
    <row r="316" spans="1:17" s="145" customFormat="1" ht="15.75">
      <c r="A316" s="126">
        <f t="shared" si="114"/>
        <v>82</v>
      </c>
      <c r="B316" s="106" t="s">
        <v>344</v>
      </c>
      <c r="C316" s="64" t="s">
        <v>703</v>
      </c>
      <c r="D316" s="326">
        <v>2</v>
      </c>
      <c r="E316" s="326">
        <v>7</v>
      </c>
      <c r="F316" s="326">
        <v>7</v>
      </c>
      <c r="G316" s="326">
        <v>3</v>
      </c>
      <c r="H316" s="326">
        <v>5</v>
      </c>
      <c r="I316" s="162">
        <f t="shared" si="115"/>
        <v>4.95</v>
      </c>
      <c r="J316" s="163">
        <f t="shared" si="115"/>
        <v>4.9005</v>
      </c>
      <c r="K316" s="179"/>
      <c r="L316" s="180"/>
      <c r="M316" s="180"/>
      <c r="N316" s="180"/>
      <c r="O316" s="180"/>
      <c r="P316" s="180"/>
      <c r="Q316" s="180"/>
    </row>
    <row r="317" spans="1:17" s="145" customFormat="1" ht="15.75">
      <c r="A317" s="126">
        <f t="shared" si="114"/>
        <v>83</v>
      </c>
      <c r="B317" s="150" t="s">
        <v>343</v>
      </c>
      <c r="C317" s="64" t="s">
        <v>678</v>
      </c>
      <c r="D317" s="326">
        <v>15</v>
      </c>
      <c r="E317" s="326">
        <v>15</v>
      </c>
      <c r="F317" s="326">
        <v>15</v>
      </c>
      <c r="G317" s="326">
        <v>15</v>
      </c>
      <c r="H317" s="326">
        <v>15</v>
      </c>
      <c r="I317" s="162">
        <f t="shared" si="115"/>
        <v>14.85</v>
      </c>
      <c r="J317" s="163">
        <f t="shared" si="115"/>
        <v>14.7015</v>
      </c>
      <c r="K317" s="179"/>
      <c r="L317" s="180"/>
      <c r="M317" s="180"/>
      <c r="N317" s="180"/>
      <c r="O317" s="180"/>
      <c r="P317" s="180"/>
      <c r="Q317" s="180"/>
    </row>
    <row r="318" spans="1:19" s="145" customFormat="1" ht="15.75">
      <c r="A318" s="126">
        <f t="shared" si="114"/>
        <v>84</v>
      </c>
      <c r="B318" s="106" t="s">
        <v>342</v>
      </c>
      <c r="C318" s="64" t="s">
        <v>704</v>
      </c>
      <c r="D318" s="167">
        <v>30</v>
      </c>
      <c r="E318" s="167">
        <v>30</v>
      </c>
      <c r="F318" s="167">
        <v>29</v>
      </c>
      <c r="G318" s="167">
        <v>29</v>
      </c>
      <c r="H318" s="167">
        <v>29</v>
      </c>
      <c r="I318" s="167">
        <v>28.71</v>
      </c>
      <c r="J318" s="328">
        <v>28.4229</v>
      </c>
      <c r="K318" s="187"/>
      <c r="L318" s="186"/>
      <c r="M318" s="186"/>
      <c r="N318" s="186"/>
      <c r="O318" s="186"/>
      <c r="P318" s="186"/>
      <c r="Q318" s="186"/>
      <c r="R318" s="186">
        <v>0</v>
      </c>
      <c r="S318" s="186">
        <v>0</v>
      </c>
    </row>
    <row r="319" spans="1:17" s="153" customFormat="1" ht="15.75">
      <c r="A319" s="126">
        <f t="shared" si="114"/>
        <v>85</v>
      </c>
      <c r="B319" s="151" t="s">
        <v>341</v>
      </c>
      <c r="C319" s="196" t="s">
        <v>705</v>
      </c>
      <c r="D319" s="326">
        <v>54</v>
      </c>
      <c r="E319" s="326">
        <v>55</v>
      </c>
      <c r="F319" s="326">
        <v>55</v>
      </c>
      <c r="G319" s="326">
        <v>54</v>
      </c>
      <c r="H319" s="326">
        <v>55</v>
      </c>
      <c r="I319" s="162">
        <f>H319*0.99</f>
        <v>54.45</v>
      </c>
      <c r="J319" s="163">
        <f>I319*0.99</f>
        <v>53.9055</v>
      </c>
      <c r="K319" s="179"/>
      <c r="L319" s="180"/>
      <c r="M319" s="180"/>
      <c r="N319" s="180"/>
      <c r="O319" s="180"/>
      <c r="P319" s="180"/>
      <c r="Q319" s="180"/>
    </row>
    <row r="320" spans="1:17" s="145" customFormat="1" ht="15.75">
      <c r="A320" s="126">
        <f t="shared" si="114"/>
        <v>86</v>
      </c>
      <c r="B320" s="106" t="s">
        <v>340</v>
      </c>
      <c r="C320" s="64" t="s">
        <v>706</v>
      </c>
      <c r="D320" s="326">
        <v>10</v>
      </c>
      <c r="E320" s="326">
        <v>10</v>
      </c>
      <c r="F320" s="326">
        <v>9</v>
      </c>
      <c r="G320" s="326">
        <v>9</v>
      </c>
      <c r="H320" s="326">
        <v>9</v>
      </c>
      <c r="I320" s="162">
        <f>H320*0.99</f>
        <v>8.91</v>
      </c>
      <c r="J320" s="163">
        <f>I320*0.99</f>
        <v>8.8209</v>
      </c>
      <c r="K320" s="179"/>
      <c r="L320" s="180"/>
      <c r="M320" s="180"/>
      <c r="N320" s="180"/>
      <c r="O320" s="180"/>
      <c r="P320" s="180"/>
      <c r="Q320" s="180"/>
    </row>
    <row r="321" spans="1:17" s="145" customFormat="1" ht="15.75">
      <c r="A321" s="126">
        <f t="shared" si="114"/>
        <v>87</v>
      </c>
      <c r="B321" s="106" t="s">
        <v>339</v>
      </c>
      <c r="C321" s="64" t="s">
        <v>707</v>
      </c>
      <c r="D321" s="326">
        <v>349</v>
      </c>
      <c r="E321" s="326">
        <v>243</v>
      </c>
      <c r="F321" s="326">
        <v>243</v>
      </c>
      <c r="G321" s="326">
        <v>236</v>
      </c>
      <c r="H321" s="326">
        <v>272</v>
      </c>
      <c r="I321" s="162">
        <v>269.28</v>
      </c>
      <c r="J321" s="163">
        <v>266.5872</v>
      </c>
      <c r="K321" s="179"/>
      <c r="L321" s="180"/>
      <c r="M321" s="180"/>
      <c r="N321" s="180"/>
      <c r="O321" s="180"/>
      <c r="P321" s="180"/>
      <c r="Q321" s="180"/>
    </row>
    <row r="322" spans="1:17" s="145" customFormat="1" ht="15.75">
      <c r="A322" s="126">
        <f t="shared" si="114"/>
        <v>88</v>
      </c>
      <c r="B322" s="106" t="s">
        <v>338</v>
      </c>
      <c r="C322" s="64" t="s">
        <v>708</v>
      </c>
      <c r="D322" s="326">
        <v>307</v>
      </c>
      <c r="E322" s="326">
        <v>266</v>
      </c>
      <c r="F322" s="326">
        <v>299</v>
      </c>
      <c r="G322" s="326">
        <v>250</v>
      </c>
      <c r="H322" s="326">
        <v>342</v>
      </c>
      <c r="I322" s="162">
        <f aca="true" t="shared" si="116" ref="I322:J325">H322*0.99</f>
        <v>338.58</v>
      </c>
      <c r="J322" s="163">
        <f t="shared" si="116"/>
        <v>335.19419999999997</v>
      </c>
      <c r="K322" s="179"/>
      <c r="L322" s="180"/>
      <c r="M322" s="180"/>
      <c r="N322" s="180"/>
      <c r="O322" s="180"/>
      <c r="P322" s="180"/>
      <c r="Q322" s="180"/>
    </row>
    <row r="323" spans="1:17" s="145" customFormat="1" ht="15.75">
      <c r="A323" s="126">
        <f t="shared" si="114"/>
        <v>89</v>
      </c>
      <c r="B323" s="106" t="s">
        <v>337</v>
      </c>
      <c r="C323" s="64" t="s">
        <v>680</v>
      </c>
      <c r="D323" s="326">
        <f>100-1</f>
        <v>99</v>
      </c>
      <c r="E323" s="326">
        <f>100+1</f>
        <v>101</v>
      </c>
      <c r="F323" s="326">
        <v>100</v>
      </c>
      <c r="G323" s="326">
        <v>100</v>
      </c>
      <c r="H323" s="326">
        <f>100+1</f>
        <v>101</v>
      </c>
      <c r="I323" s="162">
        <f t="shared" si="116"/>
        <v>99.99</v>
      </c>
      <c r="J323" s="163">
        <f t="shared" si="116"/>
        <v>98.9901</v>
      </c>
      <c r="K323" s="179"/>
      <c r="L323" s="180"/>
      <c r="M323" s="180"/>
      <c r="N323" s="180"/>
      <c r="O323" s="180"/>
      <c r="P323" s="180"/>
      <c r="Q323" s="180"/>
    </row>
    <row r="324" spans="1:17" s="145" customFormat="1" ht="15.75">
      <c r="A324" s="126">
        <f t="shared" si="114"/>
        <v>90</v>
      </c>
      <c r="B324" s="151" t="s">
        <v>500</v>
      </c>
      <c r="C324" s="64" t="s">
        <v>681</v>
      </c>
      <c r="D324" s="326">
        <v>35</v>
      </c>
      <c r="E324" s="326">
        <v>34</v>
      </c>
      <c r="F324" s="326">
        <v>33</v>
      </c>
      <c r="G324" s="326">
        <v>31</v>
      </c>
      <c r="H324" s="326">
        <v>31</v>
      </c>
      <c r="I324" s="162">
        <f t="shared" si="116"/>
        <v>30.69</v>
      </c>
      <c r="J324" s="163">
        <f t="shared" si="116"/>
        <v>30.383100000000002</v>
      </c>
      <c r="K324" s="179"/>
      <c r="L324" s="180"/>
      <c r="M324" s="180"/>
      <c r="N324" s="180"/>
      <c r="O324" s="180"/>
      <c r="P324" s="180"/>
      <c r="Q324" s="180"/>
    </row>
    <row r="325" spans="1:17" s="145" customFormat="1" ht="15.75">
      <c r="A325" s="126">
        <f t="shared" si="114"/>
        <v>91</v>
      </c>
      <c r="B325" s="106" t="s">
        <v>499</v>
      </c>
      <c r="C325" s="64" t="s">
        <v>682</v>
      </c>
      <c r="D325" s="326">
        <v>35</v>
      </c>
      <c r="E325" s="326">
        <v>34</v>
      </c>
      <c r="F325" s="326">
        <v>33</v>
      </c>
      <c r="G325" s="326">
        <v>31</v>
      </c>
      <c r="H325" s="326">
        <v>31</v>
      </c>
      <c r="I325" s="162">
        <f t="shared" si="116"/>
        <v>30.69</v>
      </c>
      <c r="J325" s="163">
        <f t="shared" si="116"/>
        <v>30.383100000000002</v>
      </c>
      <c r="K325" s="179"/>
      <c r="L325" s="180"/>
      <c r="M325" s="180"/>
      <c r="N325" s="180"/>
      <c r="O325" s="180"/>
      <c r="P325" s="180"/>
      <c r="Q325" s="180"/>
    </row>
    <row r="326" spans="1:28" s="144" customFormat="1" ht="16.5" customHeight="1">
      <c r="A326" s="126">
        <f t="shared" si="114"/>
        <v>92</v>
      </c>
      <c r="B326" s="97" t="s">
        <v>958</v>
      </c>
      <c r="C326" s="66" t="s">
        <v>959</v>
      </c>
      <c r="D326" s="162" t="s">
        <v>556</v>
      </c>
      <c r="E326" s="162">
        <v>1</v>
      </c>
      <c r="F326" s="162" t="s">
        <v>556</v>
      </c>
      <c r="G326" s="162" t="s">
        <v>556</v>
      </c>
      <c r="H326" s="162" t="s">
        <v>556</v>
      </c>
      <c r="I326" s="162" t="s">
        <v>556</v>
      </c>
      <c r="J326" s="163" t="s">
        <v>556</v>
      </c>
      <c r="K326" s="178"/>
      <c r="L326" s="180"/>
      <c r="M326" s="175"/>
      <c r="N326" s="175"/>
      <c r="O326" s="175"/>
      <c r="P326" s="175"/>
      <c r="Q326" s="175"/>
      <c r="R326" s="143"/>
      <c r="S326" s="143"/>
      <c r="T326" s="143"/>
      <c r="U326" s="143"/>
      <c r="V326" s="143"/>
      <c r="W326" s="143"/>
      <c r="X326" s="143"/>
      <c r="Y326" s="143"/>
      <c r="Z326" s="143"/>
      <c r="AA326" s="143"/>
      <c r="AB326" s="143"/>
    </row>
    <row r="327" spans="1:17" s="145" customFormat="1" ht="15.75">
      <c r="A327" s="126">
        <f t="shared" si="114"/>
        <v>93</v>
      </c>
      <c r="B327" s="106" t="s">
        <v>498</v>
      </c>
      <c r="C327" s="64" t="s">
        <v>722</v>
      </c>
      <c r="D327" s="326">
        <v>40</v>
      </c>
      <c r="E327" s="326">
        <v>40</v>
      </c>
      <c r="F327" s="326">
        <v>40</v>
      </c>
      <c r="G327" s="326">
        <v>42</v>
      </c>
      <c r="H327" s="326">
        <v>42</v>
      </c>
      <c r="I327" s="162">
        <f aca="true" t="shared" si="117" ref="I327:J329">H327*0.99</f>
        <v>41.58</v>
      </c>
      <c r="J327" s="163">
        <f t="shared" si="117"/>
        <v>41.1642</v>
      </c>
      <c r="K327" s="176"/>
      <c r="L327" s="177"/>
      <c r="M327" s="177"/>
      <c r="N327" s="177"/>
      <c r="O327" s="177"/>
      <c r="P327" s="177"/>
      <c r="Q327" s="177"/>
    </row>
    <row r="328" spans="1:17" s="145" customFormat="1" ht="15.75">
      <c r="A328" s="126">
        <f t="shared" si="114"/>
        <v>94</v>
      </c>
      <c r="B328" s="148" t="s">
        <v>111</v>
      </c>
      <c r="C328" s="66" t="s">
        <v>112</v>
      </c>
      <c r="D328" s="326">
        <v>10</v>
      </c>
      <c r="E328" s="326">
        <v>11</v>
      </c>
      <c r="F328" s="326">
        <v>10</v>
      </c>
      <c r="G328" s="326">
        <v>12</v>
      </c>
      <c r="H328" s="326">
        <v>10</v>
      </c>
      <c r="I328" s="162">
        <f t="shared" si="117"/>
        <v>9.9</v>
      </c>
      <c r="J328" s="163">
        <f t="shared" si="117"/>
        <v>9.801</v>
      </c>
      <c r="K328" s="179"/>
      <c r="L328" s="180"/>
      <c r="M328" s="180"/>
      <c r="N328" s="180"/>
      <c r="O328" s="180"/>
      <c r="P328" s="180"/>
      <c r="Q328" s="180"/>
    </row>
    <row r="329" spans="1:17" s="145" customFormat="1" ht="15.75">
      <c r="A329" s="126">
        <f t="shared" si="114"/>
        <v>95</v>
      </c>
      <c r="B329" s="106" t="s">
        <v>497</v>
      </c>
      <c r="C329" s="64" t="s">
        <v>723</v>
      </c>
      <c r="D329" s="326">
        <v>30</v>
      </c>
      <c r="E329" s="326">
        <v>30</v>
      </c>
      <c r="F329" s="326">
        <v>30</v>
      </c>
      <c r="G329" s="326">
        <v>30</v>
      </c>
      <c r="H329" s="326">
        <v>30</v>
      </c>
      <c r="I329" s="162">
        <f t="shared" si="117"/>
        <v>29.7</v>
      </c>
      <c r="J329" s="163">
        <f t="shared" si="117"/>
        <v>29.403</v>
      </c>
      <c r="K329" s="177"/>
      <c r="L329" s="177"/>
      <c r="M329" s="177"/>
      <c r="N329" s="177"/>
      <c r="O329" s="177"/>
      <c r="P329" s="177"/>
      <c r="Q329" s="177"/>
    </row>
    <row r="330" spans="1:17" s="145" customFormat="1" ht="15.75">
      <c r="A330" s="126">
        <f t="shared" si="114"/>
        <v>96</v>
      </c>
      <c r="B330" s="106" t="s">
        <v>496</v>
      </c>
      <c r="C330" s="64" t="s">
        <v>724</v>
      </c>
      <c r="D330" s="326">
        <v>169</v>
      </c>
      <c r="E330" s="326">
        <v>169</v>
      </c>
      <c r="F330" s="326">
        <v>170</v>
      </c>
      <c r="G330" s="326">
        <v>174</v>
      </c>
      <c r="H330" s="326">
        <v>174</v>
      </c>
      <c r="I330" s="162">
        <v>172.66</v>
      </c>
      <c r="J330" s="163">
        <v>171.33339999999998</v>
      </c>
      <c r="K330" s="177"/>
      <c r="L330" s="177"/>
      <c r="M330" s="177"/>
      <c r="N330" s="177"/>
      <c r="O330" s="177"/>
      <c r="P330" s="177"/>
      <c r="Q330" s="177"/>
    </row>
    <row r="331" spans="1:17" s="145" customFormat="1" ht="30">
      <c r="A331" s="126">
        <f t="shared" si="114"/>
        <v>97</v>
      </c>
      <c r="B331" s="106" t="s">
        <v>495</v>
      </c>
      <c r="C331" s="64" t="s">
        <v>694</v>
      </c>
      <c r="D331" s="326">
        <v>150</v>
      </c>
      <c r="E331" s="326">
        <v>150</v>
      </c>
      <c r="F331" s="326">
        <v>150</v>
      </c>
      <c r="G331" s="326">
        <f>150+2</f>
        <v>152</v>
      </c>
      <c r="H331" s="326">
        <v>150</v>
      </c>
      <c r="I331" s="162">
        <v>172.66</v>
      </c>
      <c r="J331" s="163">
        <v>171.33339999999998</v>
      </c>
      <c r="K331" s="176"/>
      <c r="L331" s="177"/>
      <c r="M331" s="177"/>
      <c r="N331" s="177"/>
      <c r="O331" s="177"/>
      <c r="P331" s="177"/>
      <c r="Q331" s="177"/>
    </row>
    <row r="332" spans="1:17" s="145" customFormat="1" ht="15.75">
      <c r="A332" s="126">
        <f>A331+1</f>
        <v>98</v>
      </c>
      <c r="B332" s="106" t="s">
        <v>1114</v>
      </c>
      <c r="C332" s="64" t="s">
        <v>1081</v>
      </c>
      <c r="D332" s="326" t="s">
        <v>998</v>
      </c>
      <c r="E332" s="326">
        <f>2+1</f>
        <v>3</v>
      </c>
      <c r="F332" s="326" t="s">
        <v>998</v>
      </c>
      <c r="G332" s="326" t="s">
        <v>998</v>
      </c>
      <c r="H332" s="326">
        <v>1</v>
      </c>
      <c r="I332" s="162">
        <v>172.66</v>
      </c>
      <c r="J332" s="163">
        <v>171.33339999999998</v>
      </c>
      <c r="K332" s="176"/>
      <c r="L332" s="177"/>
      <c r="M332" s="177"/>
      <c r="N332" s="177"/>
      <c r="O332" s="177"/>
      <c r="P332" s="177"/>
      <c r="Q332" s="177"/>
    </row>
    <row r="333" spans="1:17" s="145" customFormat="1" ht="15.75">
      <c r="A333" s="126">
        <f t="shared" si="114"/>
        <v>99</v>
      </c>
      <c r="B333" s="106" t="s">
        <v>492</v>
      </c>
      <c r="C333" s="64" t="s">
        <v>696</v>
      </c>
      <c r="D333" s="326">
        <v>34</v>
      </c>
      <c r="E333" s="326">
        <v>34</v>
      </c>
      <c r="F333" s="326">
        <v>34</v>
      </c>
      <c r="G333" s="326">
        <v>34</v>
      </c>
      <c r="H333" s="326">
        <v>34</v>
      </c>
      <c r="I333" s="162">
        <f aca="true" t="shared" si="118" ref="I333:J338">H333*0.99</f>
        <v>33.66</v>
      </c>
      <c r="J333" s="163">
        <f t="shared" si="118"/>
        <v>33.3234</v>
      </c>
      <c r="K333" s="179"/>
      <c r="L333" s="180"/>
      <c r="M333" s="180"/>
      <c r="N333" s="180"/>
      <c r="O333" s="180"/>
      <c r="P333" s="180"/>
      <c r="Q333" s="180"/>
    </row>
    <row r="334" spans="1:17" s="145" customFormat="1" ht="15.75">
      <c r="A334" s="126">
        <f t="shared" si="114"/>
        <v>100</v>
      </c>
      <c r="B334" s="106" t="s">
        <v>1102</v>
      </c>
      <c r="C334" s="64" t="s">
        <v>1103</v>
      </c>
      <c r="D334" s="326" t="s">
        <v>998</v>
      </c>
      <c r="E334" s="326">
        <v>2</v>
      </c>
      <c r="F334" s="326">
        <v>1</v>
      </c>
      <c r="G334" s="326" t="s">
        <v>998</v>
      </c>
      <c r="H334" s="326" t="s">
        <v>998</v>
      </c>
      <c r="I334" s="162" t="s">
        <v>998</v>
      </c>
      <c r="J334" s="163" t="s">
        <v>998</v>
      </c>
      <c r="K334" s="179"/>
      <c r="L334" s="179"/>
      <c r="M334" s="179"/>
      <c r="N334" s="179"/>
      <c r="O334" s="179"/>
      <c r="P334" s="179"/>
      <c r="Q334" s="179"/>
    </row>
    <row r="335" spans="1:17" s="145" customFormat="1" ht="15.75">
      <c r="A335" s="126">
        <f t="shared" si="114"/>
        <v>101</v>
      </c>
      <c r="B335" s="106" t="s">
        <v>493</v>
      </c>
      <c r="C335" s="64" t="s">
        <v>728</v>
      </c>
      <c r="D335" s="326">
        <v>48</v>
      </c>
      <c r="E335" s="326">
        <v>48</v>
      </c>
      <c r="F335" s="326">
        <v>48</v>
      </c>
      <c r="G335" s="326">
        <v>48</v>
      </c>
      <c r="H335" s="326">
        <v>48</v>
      </c>
      <c r="I335" s="162">
        <f t="shared" si="118"/>
        <v>47.519999999999996</v>
      </c>
      <c r="J335" s="163">
        <f t="shared" si="118"/>
        <v>47.044799999999995</v>
      </c>
      <c r="K335" s="179"/>
      <c r="L335" s="179"/>
      <c r="M335" s="179"/>
      <c r="N335" s="179"/>
      <c r="O335" s="179"/>
      <c r="P335" s="179"/>
      <c r="Q335" s="179"/>
    </row>
    <row r="336" spans="1:28" s="144" customFormat="1" ht="30" customHeight="1">
      <c r="A336" s="126">
        <f t="shared" si="114"/>
        <v>102</v>
      </c>
      <c r="B336" s="106" t="s">
        <v>1018</v>
      </c>
      <c r="C336" s="66" t="s">
        <v>1019</v>
      </c>
      <c r="D336" s="162">
        <v>1</v>
      </c>
      <c r="E336" s="162" t="s">
        <v>556</v>
      </c>
      <c r="F336" s="162">
        <v>3</v>
      </c>
      <c r="G336" s="162">
        <v>2</v>
      </c>
      <c r="H336" s="162">
        <v>1</v>
      </c>
      <c r="I336" s="162">
        <f t="shared" si="118"/>
        <v>0.99</v>
      </c>
      <c r="J336" s="163">
        <f t="shared" si="118"/>
        <v>0.9801</v>
      </c>
      <c r="K336" s="179"/>
      <c r="L336" s="175"/>
      <c r="M336" s="180"/>
      <c r="N336" s="180"/>
      <c r="O336" s="180"/>
      <c r="P336" s="180"/>
      <c r="Q336" s="180"/>
      <c r="R336" s="143"/>
      <c r="S336" s="143"/>
      <c r="T336" s="143"/>
      <c r="U336" s="143"/>
      <c r="V336" s="143"/>
      <c r="W336" s="143"/>
      <c r="X336" s="143"/>
      <c r="Y336" s="143"/>
      <c r="Z336" s="143"/>
      <c r="AA336" s="143"/>
      <c r="AB336" s="143"/>
    </row>
    <row r="337" spans="1:28" s="144" customFormat="1" ht="18" customHeight="1">
      <c r="A337" s="126">
        <f t="shared" si="114"/>
        <v>103</v>
      </c>
      <c r="B337" s="97" t="s">
        <v>805</v>
      </c>
      <c r="C337" s="29" t="s">
        <v>806</v>
      </c>
      <c r="D337" s="162" t="s">
        <v>556</v>
      </c>
      <c r="E337" s="162" t="s">
        <v>556</v>
      </c>
      <c r="F337" s="162">
        <v>1</v>
      </c>
      <c r="G337" s="162">
        <v>1</v>
      </c>
      <c r="H337" s="162">
        <v>1</v>
      </c>
      <c r="I337" s="162">
        <f t="shared" si="118"/>
        <v>0.99</v>
      </c>
      <c r="J337" s="163">
        <f t="shared" si="118"/>
        <v>0.9801</v>
      </c>
      <c r="K337" s="178"/>
      <c r="L337" s="175"/>
      <c r="M337" s="180"/>
      <c r="N337" s="180"/>
      <c r="O337" s="180"/>
      <c r="P337" s="180"/>
      <c r="Q337" s="180"/>
      <c r="R337" s="143"/>
      <c r="S337" s="143"/>
      <c r="T337" s="143"/>
      <c r="U337" s="143"/>
      <c r="V337" s="143"/>
      <c r="W337" s="143"/>
      <c r="X337" s="143"/>
      <c r="Y337" s="143"/>
      <c r="Z337" s="143"/>
      <c r="AA337" s="143"/>
      <c r="AB337" s="143"/>
    </row>
    <row r="338" spans="1:17" s="145" customFormat="1" ht="15.75">
      <c r="A338" s="126">
        <f t="shared" si="114"/>
        <v>104</v>
      </c>
      <c r="B338" s="106" t="s">
        <v>494</v>
      </c>
      <c r="C338" s="64" t="s">
        <v>697</v>
      </c>
      <c r="D338" s="326">
        <v>43</v>
      </c>
      <c r="E338" s="326">
        <v>43</v>
      </c>
      <c r="F338" s="326">
        <v>43</v>
      </c>
      <c r="G338" s="326">
        <v>43</v>
      </c>
      <c r="H338" s="326">
        <v>43</v>
      </c>
      <c r="I338" s="162">
        <f t="shared" si="118"/>
        <v>42.57</v>
      </c>
      <c r="J338" s="197">
        <f t="shared" si="118"/>
        <v>42.1443</v>
      </c>
      <c r="K338" s="188"/>
      <c r="L338" s="180"/>
      <c r="M338" s="180"/>
      <c r="N338" s="180"/>
      <c r="O338" s="180"/>
      <c r="P338" s="180"/>
      <c r="Q338" s="180"/>
    </row>
    <row r="339" spans="1:17" s="137" customFormat="1" ht="12" customHeight="1">
      <c r="A339" s="36"/>
      <c r="B339" s="115"/>
      <c r="C339" s="35"/>
      <c r="D339" s="173"/>
      <c r="E339" s="173"/>
      <c r="F339" s="173"/>
      <c r="G339" s="173"/>
      <c r="H339" s="173"/>
      <c r="I339" s="173"/>
      <c r="J339" s="173"/>
      <c r="K339" s="173"/>
      <c r="L339" s="173"/>
      <c r="M339" s="173"/>
      <c r="N339" s="173"/>
      <c r="O339" s="173"/>
      <c r="P339" s="173"/>
      <c r="Q339" s="181"/>
    </row>
    <row r="340" spans="1:51" s="138" customFormat="1" ht="38.25" customHeight="1">
      <c r="A340" s="403" t="s">
        <v>146</v>
      </c>
      <c r="B340" s="404"/>
      <c r="C340" s="405"/>
      <c r="D340" s="170">
        <f aca="true" t="shared" si="119" ref="D340:J340">SUM(D230:D243,D245:D277,D279:D283,D285:D291,D293:D305,D307:D338)</f>
        <v>3825</v>
      </c>
      <c r="E340" s="170">
        <f t="shared" si="119"/>
        <v>3668</v>
      </c>
      <c r="F340" s="170">
        <f t="shared" si="119"/>
        <v>3652</v>
      </c>
      <c r="G340" s="170">
        <f t="shared" si="119"/>
        <v>3557</v>
      </c>
      <c r="H340" s="170">
        <f t="shared" si="119"/>
        <v>3683</v>
      </c>
      <c r="I340" s="170">
        <f t="shared" si="119"/>
        <v>3806.799999999998</v>
      </c>
      <c r="J340" s="170">
        <f t="shared" si="119"/>
        <v>3769.952</v>
      </c>
      <c r="K340" s="172"/>
      <c r="L340" s="170"/>
      <c r="M340" s="170"/>
      <c r="N340" s="170"/>
      <c r="O340" s="170"/>
      <c r="P340" s="170"/>
      <c r="Q340" s="170"/>
      <c r="R340" s="39"/>
      <c r="S340" s="39"/>
      <c r="T340" s="120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</row>
    <row r="341" spans="1:17" s="137" customFormat="1" ht="18" customHeight="1">
      <c r="A341" s="36"/>
      <c r="B341" s="115"/>
      <c r="C341" s="35"/>
      <c r="D341" s="173"/>
      <c r="E341" s="173"/>
      <c r="F341" s="173"/>
      <c r="G341" s="173"/>
      <c r="H341" s="173"/>
      <c r="I341" s="173"/>
      <c r="J341" s="173"/>
      <c r="K341" s="173"/>
      <c r="L341" s="173"/>
      <c r="M341" s="173"/>
      <c r="N341" s="173"/>
      <c r="O341" s="173"/>
      <c r="P341" s="173"/>
      <c r="Q341" s="181"/>
    </row>
    <row r="342" spans="1:51" s="138" customFormat="1" ht="21.75" customHeight="1">
      <c r="A342" s="403" t="s">
        <v>22</v>
      </c>
      <c r="B342" s="404"/>
      <c r="C342" s="405"/>
      <c r="D342" s="170">
        <f aca="true" t="shared" si="120" ref="D342:J342">D155+D226+D340</f>
        <v>7882</v>
      </c>
      <c r="E342" s="170">
        <f t="shared" si="120"/>
        <v>7582</v>
      </c>
      <c r="F342" s="170">
        <f t="shared" si="120"/>
        <v>7141</v>
      </c>
      <c r="G342" s="170">
        <f t="shared" si="120"/>
        <v>7042</v>
      </c>
      <c r="H342" s="170">
        <f t="shared" si="120"/>
        <v>7113</v>
      </c>
      <c r="I342" s="170">
        <f t="shared" si="120"/>
        <v>7201.509999999998</v>
      </c>
      <c r="J342" s="171">
        <f t="shared" si="120"/>
        <v>7130.714899999999</v>
      </c>
      <c r="K342" s="172"/>
      <c r="L342" s="170"/>
      <c r="M342" s="170"/>
      <c r="N342" s="170"/>
      <c r="O342" s="170"/>
      <c r="P342" s="170"/>
      <c r="Q342" s="170"/>
      <c r="R342" s="39"/>
      <c r="S342" s="39"/>
      <c r="T342" s="120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</row>
    <row r="343" spans="1:20" s="137" customFormat="1" ht="6.75" customHeight="1">
      <c r="A343" s="89"/>
      <c r="B343" s="113"/>
      <c r="C343" s="127"/>
      <c r="D343" s="182"/>
      <c r="E343" s="182"/>
      <c r="F343" s="182"/>
      <c r="G343" s="182"/>
      <c r="H343" s="182"/>
      <c r="I343" s="182"/>
      <c r="J343" s="182"/>
      <c r="K343" s="160"/>
      <c r="L343" s="160"/>
      <c r="M343" s="160"/>
      <c r="N343" s="160"/>
      <c r="O343" s="160"/>
      <c r="P343" s="160"/>
      <c r="Q343" s="160"/>
      <c r="R343" s="36"/>
      <c r="S343" s="36"/>
      <c r="T343" s="120"/>
    </row>
    <row r="344" spans="1:191" s="84" customFormat="1" ht="15" customHeight="1">
      <c r="A344" s="82" t="s">
        <v>1324</v>
      </c>
      <c r="B344" s="91"/>
      <c r="C344" s="83"/>
      <c r="D344" s="183"/>
      <c r="E344" s="184"/>
      <c r="F344" s="184"/>
      <c r="G344" s="184"/>
      <c r="H344" s="184"/>
      <c r="I344" s="183"/>
      <c r="J344" s="183"/>
      <c r="K344" s="185"/>
      <c r="L344" s="185"/>
      <c r="M344" s="185"/>
      <c r="N344" s="185"/>
      <c r="O344" s="185"/>
      <c r="P344" s="185"/>
      <c r="Q344" s="185"/>
      <c r="T344" s="154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  <c r="AT344" s="155"/>
      <c r="AU344" s="155"/>
      <c r="AV344" s="155"/>
      <c r="AW344" s="155"/>
      <c r="AX344" s="155"/>
      <c r="AY344" s="155"/>
      <c r="AZ344" s="155"/>
      <c r="BA344" s="155"/>
      <c r="BB344" s="155"/>
      <c r="BC344" s="155"/>
      <c r="BD344" s="155"/>
      <c r="BE344" s="155"/>
      <c r="BF344" s="155"/>
      <c r="BG344" s="155"/>
      <c r="BH344" s="155"/>
      <c r="BI344" s="155"/>
      <c r="BJ344" s="155"/>
      <c r="BK344" s="155"/>
      <c r="BL344" s="155"/>
      <c r="BM344" s="155"/>
      <c r="BN344" s="155"/>
      <c r="BO344" s="155"/>
      <c r="BP344" s="155"/>
      <c r="BQ344" s="155"/>
      <c r="BR344" s="155"/>
      <c r="BS344" s="155"/>
      <c r="BT344" s="155"/>
      <c r="BU344" s="155"/>
      <c r="BV344" s="155"/>
      <c r="BW344" s="155"/>
      <c r="BX344" s="155"/>
      <c r="BY344" s="155"/>
      <c r="BZ344" s="155"/>
      <c r="CA344" s="155"/>
      <c r="CB344" s="155"/>
      <c r="CC344" s="155"/>
      <c r="CD344" s="155"/>
      <c r="CE344" s="155"/>
      <c r="CF344" s="155"/>
      <c r="CG344" s="155"/>
      <c r="CH344" s="155"/>
      <c r="CI344" s="155"/>
      <c r="CJ344" s="155"/>
      <c r="CK344" s="155"/>
      <c r="CL344" s="155"/>
      <c r="CM344" s="155"/>
      <c r="CN344" s="155"/>
      <c r="CO344" s="155"/>
      <c r="CP344" s="155"/>
      <c r="CQ344" s="155"/>
      <c r="CR344" s="155"/>
      <c r="CS344" s="155"/>
      <c r="CT344" s="155"/>
      <c r="CU344" s="155"/>
      <c r="CV344" s="155"/>
      <c r="CW344" s="155"/>
      <c r="CX344" s="155"/>
      <c r="CY344" s="155"/>
      <c r="CZ344" s="155"/>
      <c r="DA344" s="155"/>
      <c r="DB344" s="155"/>
      <c r="DC344" s="155"/>
      <c r="DD344" s="155"/>
      <c r="DE344" s="155"/>
      <c r="DF344" s="155"/>
      <c r="DG344" s="155"/>
      <c r="DH344" s="155"/>
      <c r="DI344" s="155"/>
      <c r="DJ344" s="155"/>
      <c r="DK344" s="155"/>
      <c r="DL344" s="155"/>
      <c r="DM344" s="155"/>
      <c r="DN344" s="155"/>
      <c r="DO344" s="155"/>
      <c r="DP344" s="155"/>
      <c r="DQ344" s="155"/>
      <c r="DR344" s="155"/>
      <c r="DS344" s="155"/>
      <c r="DT344" s="155"/>
      <c r="DU344" s="155"/>
      <c r="DV344" s="155"/>
      <c r="DW344" s="155"/>
      <c r="DX344" s="155"/>
      <c r="DY344" s="155"/>
      <c r="DZ344" s="155"/>
      <c r="EA344" s="155"/>
      <c r="EB344" s="155"/>
      <c r="EC344" s="155"/>
      <c r="ED344" s="155"/>
      <c r="EE344" s="155"/>
      <c r="EF344" s="155"/>
      <c r="EG344" s="155"/>
      <c r="EH344" s="155"/>
      <c r="EI344" s="155"/>
      <c r="EJ344" s="155"/>
      <c r="EK344" s="155"/>
      <c r="EL344" s="155"/>
      <c r="EM344" s="155"/>
      <c r="EN344" s="155"/>
      <c r="EO344" s="155"/>
      <c r="EP344" s="155"/>
      <c r="EQ344" s="155"/>
      <c r="ER344" s="155"/>
      <c r="ES344" s="155"/>
      <c r="ET344" s="155"/>
      <c r="EU344" s="155"/>
      <c r="EV344" s="155"/>
      <c r="EW344" s="155"/>
      <c r="EX344" s="155"/>
      <c r="EY344" s="155"/>
      <c r="EZ344" s="155"/>
      <c r="FA344" s="155"/>
      <c r="FB344" s="155"/>
      <c r="FC344" s="155"/>
      <c r="FD344" s="155"/>
      <c r="FE344" s="155"/>
      <c r="FF344" s="155"/>
      <c r="FG344" s="155"/>
      <c r="FH344" s="155"/>
      <c r="FI344" s="155"/>
      <c r="FJ344" s="155"/>
      <c r="FK344" s="155"/>
      <c r="FL344" s="155"/>
      <c r="FM344" s="155"/>
      <c r="FN344" s="155"/>
      <c r="FO344" s="155"/>
      <c r="FP344" s="155"/>
      <c r="FQ344" s="155"/>
      <c r="FR344" s="155"/>
      <c r="FS344" s="155"/>
      <c r="FT344" s="155"/>
      <c r="FU344" s="155"/>
      <c r="FV344" s="155"/>
      <c r="FW344" s="155"/>
      <c r="FX344" s="155"/>
      <c r="FY344" s="155"/>
      <c r="FZ344" s="155"/>
      <c r="GA344" s="155"/>
      <c r="GB344" s="155"/>
      <c r="GC344" s="155"/>
      <c r="GD344" s="155"/>
      <c r="GE344" s="155"/>
      <c r="GF344" s="155"/>
      <c r="GG344" s="155"/>
      <c r="GH344" s="155"/>
      <c r="GI344" s="155"/>
    </row>
    <row r="345" spans="1:191" s="84" customFormat="1" ht="15" customHeight="1">
      <c r="A345" s="82" t="s">
        <v>1325</v>
      </c>
      <c r="B345" s="91"/>
      <c r="C345" s="83"/>
      <c r="D345" s="183"/>
      <c r="E345" s="184"/>
      <c r="F345" s="184"/>
      <c r="G345" s="184"/>
      <c r="H345" s="184"/>
      <c r="I345" s="183"/>
      <c r="J345" s="183"/>
      <c r="K345" s="185"/>
      <c r="L345" s="185"/>
      <c r="M345" s="185"/>
      <c r="N345" s="185"/>
      <c r="O345" s="185"/>
      <c r="P345" s="185"/>
      <c r="Q345" s="185"/>
      <c r="T345" s="154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  <c r="AT345" s="155"/>
      <c r="AU345" s="155"/>
      <c r="AV345" s="155"/>
      <c r="AW345" s="155"/>
      <c r="AX345" s="155"/>
      <c r="AY345" s="155"/>
      <c r="AZ345" s="155"/>
      <c r="BA345" s="155"/>
      <c r="BB345" s="155"/>
      <c r="BC345" s="155"/>
      <c r="BD345" s="155"/>
      <c r="BE345" s="155"/>
      <c r="BF345" s="155"/>
      <c r="BG345" s="155"/>
      <c r="BH345" s="155"/>
      <c r="BI345" s="155"/>
      <c r="BJ345" s="155"/>
      <c r="BK345" s="155"/>
      <c r="BL345" s="155"/>
      <c r="BM345" s="155"/>
      <c r="BN345" s="155"/>
      <c r="BO345" s="155"/>
      <c r="BP345" s="155"/>
      <c r="BQ345" s="155"/>
      <c r="BR345" s="155"/>
      <c r="BS345" s="155"/>
      <c r="BT345" s="155"/>
      <c r="BU345" s="155"/>
      <c r="BV345" s="155"/>
      <c r="BW345" s="155"/>
      <c r="BX345" s="155"/>
      <c r="BY345" s="155"/>
      <c r="BZ345" s="155"/>
      <c r="CA345" s="155"/>
      <c r="CB345" s="155"/>
      <c r="CC345" s="155"/>
      <c r="CD345" s="155"/>
      <c r="CE345" s="155"/>
      <c r="CF345" s="155"/>
      <c r="CG345" s="155"/>
      <c r="CH345" s="155"/>
      <c r="CI345" s="155"/>
      <c r="CJ345" s="155"/>
      <c r="CK345" s="155"/>
      <c r="CL345" s="155"/>
      <c r="CM345" s="155"/>
      <c r="CN345" s="155"/>
      <c r="CO345" s="155"/>
      <c r="CP345" s="155"/>
      <c r="CQ345" s="155"/>
      <c r="CR345" s="155"/>
      <c r="CS345" s="155"/>
      <c r="CT345" s="155"/>
      <c r="CU345" s="155"/>
      <c r="CV345" s="155"/>
      <c r="CW345" s="155"/>
      <c r="CX345" s="155"/>
      <c r="CY345" s="155"/>
      <c r="CZ345" s="155"/>
      <c r="DA345" s="155"/>
      <c r="DB345" s="155"/>
      <c r="DC345" s="155"/>
      <c r="DD345" s="155"/>
      <c r="DE345" s="155"/>
      <c r="DF345" s="155"/>
      <c r="DG345" s="155"/>
      <c r="DH345" s="155"/>
      <c r="DI345" s="155"/>
      <c r="DJ345" s="155"/>
      <c r="DK345" s="155"/>
      <c r="DL345" s="155"/>
      <c r="DM345" s="155"/>
      <c r="DN345" s="155"/>
      <c r="DO345" s="155"/>
      <c r="DP345" s="155"/>
      <c r="DQ345" s="155"/>
      <c r="DR345" s="155"/>
      <c r="DS345" s="155"/>
      <c r="DT345" s="155"/>
      <c r="DU345" s="155"/>
      <c r="DV345" s="155"/>
      <c r="DW345" s="155"/>
      <c r="DX345" s="155"/>
      <c r="DY345" s="155"/>
      <c r="DZ345" s="155"/>
      <c r="EA345" s="155"/>
      <c r="EB345" s="155"/>
      <c r="EC345" s="155"/>
      <c r="ED345" s="155"/>
      <c r="EE345" s="155"/>
      <c r="EF345" s="155"/>
      <c r="EG345" s="155"/>
      <c r="EH345" s="155"/>
      <c r="EI345" s="155"/>
      <c r="EJ345" s="155"/>
      <c r="EK345" s="155"/>
      <c r="EL345" s="155"/>
      <c r="EM345" s="155"/>
      <c r="EN345" s="155"/>
      <c r="EO345" s="155"/>
      <c r="EP345" s="155"/>
      <c r="EQ345" s="155"/>
      <c r="ER345" s="155"/>
      <c r="ES345" s="155"/>
      <c r="ET345" s="155"/>
      <c r="EU345" s="155"/>
      <c r="EV345" s="155"/>
      <c r="EW345" s="155"/>
      <c r="EX345" s="155"/>
      <c r="EY345" s="155"/>
      <c r="EZ345" s="155"/>
      <c r="FA345" s="155"/>
      <c r="FB345" s="155"/>
      <c r="FC345" s="155"/>
      <c r="FD345" s="155"/>
      <c r="FE345" s="155"/>
      <c r="FF345" s="155"/>
      <c r="FG345" s="155"/>
      <c r="FH345" s="155"/>
      <c r="FI345" s="155"/>
      <c r="FJ345" s="155"/>
      <c r="FK345" s="155"/>
      <c r="FL345" s="155"/>
      <c r="FM345" s="155"/>
      <c r="FN345" s="155"/>
      <c r="FO345" s="155"/>
      <c r="FP345" s="155"/>
      <c r="FQ345" s="155"/>
      <c r="FR345" s="155"/>
      <c r="FS345" s="155"/>
      <c r="FT345" s="155"/>
      <c r="FU345" s="155"/>
      <c r="FV345" s="155"/>
      <c r="FW345" s="155"/>
      <c r="FX345" s="155"/>
      <c r="FY345" s="155"/>
      <c r="FZ345" s="155"/>
      <c r="GA345" s="155"/>
      <c r="GB345" s="155"/>
      <c r="GC345" s="155"/>
      <c r="GD345" s="155"/>
      <c r="GE345" s="155"/>
      <c r="GF345" s="155"/>
      <c r="GG345" s="155"/>
      <c r="GH345" s="155"/>
      <c r="GI345" s="155"/>
    </row>
    <row r="346" spans="1:191" s="84" customFormat="1" ht="15" customHeight="1">
      <c r="A346" s="82" t="s">
        <v>1326</v>
      </c>
      <c r="B346" s="91"/>
      <c r="C346" s="83"/>
      <c r="D346" s="183"/>
      <c r="E346" s="183"/>
      <c r="F346" s="183"/>
      <c r="G346" s="183"/>
      <c r="H346" s="183"/>
      <c r="I346" s="183"/>
      <c r="J346" s="183"/>
      <c r="K346" s="185"/>
      <c r="L346" s="185"/>
      <c r="M346" s="185"/>
      <c r="N346" s="185"/>
      <c r="O346" s="185"/>
      <c r="P346" s="185"/>
      <c r="Q346" s="185"/>
      <c r="T346" s="154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  <c r="AT346" s="155"/>
      <c r="AU346" s="155"/>
      <c r="AV346" s="155"/>
      <c r="AW346" s="155"/>
      <c r="AX346" s="155"/>
      <c r="AY346" s="155"/>
      <c r="AZ346" s="155"/>
      <c r="BA346" s="155"/>
      <c r="BB346" s="155"/>
      <c r="BC346" s="155"/>
      <c r="BD346" s="155"/>
      <c r="BE346" s="155"/>
      <c r="BF346" s="155"/>
      <c r="BG346" s="155"/>
      <c r="BH346" s="155"/>
      <c r="BI346" s="155"/>
      <c r="BJ346" s="155"/>
      <c r="BK346" s="155"/>
      <c r="BL346" s="155"/>
      <c r="BM346" s="155"/>
      <c r="BN346" s="155"/>
      <c r="BO346" s="155"/>
      <c r="BP346" s="155"/>
      <c r="BQ346" s="155"/>
      <c r="BR346" s="155"/>
      <c r="BS346" s="155"/>
      <c r="BT346" s="155"/>
      <c r="BU346" s="155"/>
      <c r="BV346" s="155"/>
      <c r="BW346" s="155"/>
      <c r="BX346" s="155"/>
      <c r="BY346" s="155"/>
      <c r="BZ346" s="155"/>
      <c r="CA346" s="155"/>
      <c r="CB346" s="155"/>
      <c r="CC346" s="155"/>
      <c r="CD346" s="155"/>
      <c r="CE346" s="155"/>
      <c r="CF346" s="155"/>
      <c r="CG346" s="155"/>
      <c r="CH346" s="155"/>
      <c r="CI346" s="155"/>
      <c r="CJ346" s="155"/>
      <c r="CK346" s="155"/>
      <c r="CL346" s="155"/>
      <c r="CM346" s="155"/>
      <c r="CN346" s="155"/>
      <c r="CO346" s="155"/>
      <c r="CP346" s="155"/>
      <c r="CQ346" s="155"/>
      <c r="CR346" s="155"/>
      <c r="CS346" s="155"/>
      <c r="CT346" s="155"/>
      <c r="CU346" s="155"/>
      <c r="CV346" s="155"/>
      <c r="CW346" s="155"/>
      <c r="CX346" s="155"/>
      <c r="CY346" s="155"/>
      <c r="CZ346" s="155"/>
      <c r="DA346" s="155"/>
      <c r="DB346" s="155"/>
      <c r="DC346" s="155"/>
      <c r="DD346" s="155"/>
      <c r="DE346" s="155"/>
      <c r="DF346" s="155"/>
      <c r="DG346" s="155"/>
      <c r="DH346" s="155"/>
      <c r="DI346" s="155"/>
      <c r="DJ346" s="155"/>
      <c r="DK346" s="155"/>
      <c r="DL346" s="155"/>
      <c r="DM346" s="155"/>
      <c r="DN346" s="155"/>
      <c r="DO346" s="155"/>
      <c r="DP346" s="155"/>
      <c r="DQ346" s="155"/>
      <c r="DR346" s="155"/>
      <c r="DS346" s="155"/>
      <c r="DT346" s="155"/>
      <c r="DU346" s="155"/>
      <c r="DV346" s="155"/>
      <c r="DW346" s="155"/>
      <c r="DX346" s="155"/>
      <c r="DY346" s="155"/>
      <c r="DZ346" s="155"/>
      <c r="EA346" s="155"/>
      <c r="EB346" s="155"/>
      <c r="EC346" s="155"/>
      <c r="ED346" s="155"/>
      <c r="EE346" s="155"/>
      <c r="EF346" s="155"/>
      <c r="EG346" s="155"/>
      <c r="EH346" s="155"/>
      <c r="EI346" s="155"/>
      <c r="EJ346" s="155"/>
      <c r="EK346" s="155"/>
      <c r="EL346" s="155"/>
      <c r="EM346" s="155"/>
      <c r="EN346" s="155"/>
      <c r="EO346" s="155"/>
      <c r="EP346" s="155"/>
      <c r="EQ346" s="155"/>
      <c r="ER346" s="155"/>
      <c r="ES346" s="155"/>
      <c r="ET346" s="155"/>
      <c r="EU346" s="155"/>
      <c r="EV346" s="155"/>
      <c r="EW346" s="155"/>
      <c r="EX346" s="155"/>
      <c r="EY346" s="155"/>
      <c r="EZ346" s="155"/>
      <c r="FA346" s="155"/>
      <c r="FB346" s="155"/>
      <c r="FC346" s="155"/>
      <c r="FD346" s="155"/>
      <c r="FE346" s="155"/>
      <c r="FF346" s="155"/>
      <c r="FG346" s="155"/>
      <c r="FH346" s="155"/>
      <c r="FI346" s="155"/>
      <c r="FJ346" s="155"/>
      <c r="FK346" s="155"/>
      <c r="FL346" s="155"/>
      <c r="FM346" s="155"/>
      <c r="FN346" s="155"/>
      <c r="FO346" s="155"/>
      <c r="FP346" s="155"/>
      <c r="FQ346" s="155"/>
      <c r="FR346" s="155"/>
      <c r="FS346" s="155"/>
      <c r="FT346" s="155"/>
      <c r="FU346" s="155"/>
      <c r="FV346" s="155"/>
      <c r="FW346" s="155"/>
      <c r="FX346" s="155"/>
      <c r="FY346" s="155"/>
      <c r="FZ346" s="155"/>
      <c r="GA346" s="155"/>
      <c r="GB346" s="155"/>
      <c r="GC346" s="155"/>
      <c r="GD346" s="155"/>
      <c r="GE346" s="155"/>
      <c r="GF346" s="155"/>
      <c r="GG346" s="155"/>
      <c r="GH346" s="155"/>
      <c r="GI346" s="155"/>
    </row>
    <row r="347" spans="1:17" s="156" customFormat="1" ht="15" customHeight="1">
      <c r="A347" s="408" t="s">
        <v>1328</v>
      </c>
      <c r="B347" s="408"/>
      <c r="C347" s="408"/>
      <c r="D347" s="408"/>
      <c r="E347" s="408"/>
      <c r="F347" s="408"/>
      <c r="G347" s="408"/>
      <c r="H347" s="408"/>
      <c r="I347" s="408"/>
      <c r="J347" s="408"/>
      <c r="K347" s="408"/>
      <c r="L347" s="408"/>
      <c r="M347" s="408"/>
      <c r="N347" s="408"/>
      <c r="O347" s="408"/>
      <c r="P347" s="408"/>
      <c r="Q347" s="408"/>
    </row>
    <row r="348" spans="1:17" ht="17.25" customHeight="1">
      <c r="A348" s="407"/>
      <c r="B348" s="407"/>
      <c r="C348" s="407"/>
      <c r="D348" s="407"/>
      <c r="E348" s="407"/>
      <c r="F348" s="407"/>
      <c r="G348" s="407"/>
      <c r="H348" s="407"/>
      <c r="I348" s="407"/>
      <c r="J348" s="407"/>
      <c r="K348" s="407"/>
      <c r="L348" s="407"/>
      <c r="M348" s="407"/>
      <c r="N348" s="407"/>
      <c r="O348" s="407"/>
      <c r="P348" s="407"/>
      <c r="Q348" s="407"/>
    </row>
    <row r="349" spans="1:17" ht="16.5" customHeight="1">
      <c r="A349" s="34"/>
      <c r="B349" s="325" t="s">
        <v>622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5"/>
      <c r="Q349" s="325"/>
    </row>
    <row r="350" ht="15.75">
      <c r="A350" s="34"/>
    </row>
    <row r="351" ht="15.75">
      <c r="A351" s="34"/>
    </row>
    <row r="352" ht="15.75">
      <c r="A352" s="34"/>
    </row>
    <row r="353" ht="15.75">
      <c r="A353" s="34"/>
    </row>
    <row r="354" ht="15.75">
      <c r="A354" s="34"/>
    </row>
    <row r="355" ht="15.75">
      <c r="A355" s="34"/>
    </row>
    <row r="356" ht="15.75">
      <c r="A356" s="34"/>
    </row>
    <row r="357" ht="15.75">
      <c r="A357" s="34"/>
    </row>
    <row r="358" ht="15.75">
      <c r="A358" s="34"/>
    </row>
    <row r="359" ht="15.75">
      <c r="A359" s="34"/>
    </row>
    <row r="360" ht="15.75">
      <c r="A360" s="34"/>
    </row>
    <row r="361" ht="15.75">
      <c r="A361" s="34"/>
    </row>
    <row r="362" ht="15.75">
      <c r="A362" s="34"/>
    </row>
    <row r="363" ht="15.75">
      <c r="A363" s="34"/>
    </row>
    <row r="364" ht="15.75">
      <c r="A364" s="34"/>
    </row>
    <row r="365" ht="15.75">
      <c r="A365" s="34"/>
    </row>
    <row r="366" ht="15.75">
      <c r="A366" s="34"/>
    </row>
    <row r="367" ht="15.75">
      <c r="A367" s="34"/>
    </row>
    <row r="368" ht="15.75">
      <c r="A368" s="34"/>
    </row>
    <row r="369" ht="15.75">
      <c r="A369" s="34"/>
    </row>
    <row r="370" ht="15.75">
      <c r="A370" s="34"/>
    </row>
    <row r="371" ht="15.75">
      <c r="A371" s="34"/>
    </row>
    <row r="372" ht="15.75">
      <c r="A372" s="34"/>
    </row>
    <row r="373" ht="15.75">
      <c r="A373" s="34"/>
    </row>
    <row r="374" ht="15.75">
      <c r="A374" s="34"/>
    </row>
    <row r="375" ht="15.75">
      <c r="A375" s="34"/>
    </row>
    <row r="376" ht="15.75">
      <c r="A376" s="34"/>
    </row>
    <row r="377" ht="15.75">
      <c r="A377" s="34"/>
    </row>
    <row r="378" ht="15.75">
      <c r="A378" s="34"/>
    </row>
    <row r="379" ht="15.75">
      <c r="A379" s="34"/>
    </row>
    <row r="380" ht="15.75">
      <c r="A380" s="34"/>
    </row>
    <row r="381" ht="15.75">
      <c r="A381" s="34"/>
    </row>
    <row r="382" ht="15.75">
      <c r="A382" s="34"/>
    </row>
    <row r="383" ht="15.75">
      <c r="A383" s="34"/>
    </row>
    <row r="384" ht="15.75">
      <c r="A384" s="34"/>
    </row>
    <row r="385" ht="15.75">
      <c r="A385" s="34"/>
    </row>
    <row r="386" ht="15.75">
      <c r="A386" s="34"/>
    </row>
    <row r="387" ht="15.75">
      <c r="A387" s="34"/>
    </row>
    <row r="388" ht="15.75">
      <c r="A388" s="34"/>
    </row>
    <row r="389" ht="15.75">
      <c r="A389" s="34"/>
    </row>
    <row r="390" ht="15.75">
      <c r="A390" s="34"/>
    </row>
    <row r="391" ht="15.75">
      <c r="A391" s="34"/>
    </row>
    <row r="392" ht="15.75">
      <c r="A392" s="34"/>
    </row>
    <row r="393" ht="15.75">
      <c r="A393" s="34"/>
    </row>
    <row r="394" ht="15.75">
      <c r="A394" s="34"/>
    </row>
    <row r="395" ht="15.75">
      <c r="A395" s="34"/>
    </row>
    <row r="396" ht="15.75">
      <c r="A396" s="34"/>
    </row>
    <row r="397" ht="15.75">
      <c r="A397" s="34"/>
    </row>
    <row r="398" ht="15.75">
      <c r="A398" s="34"/>
    </row>
    <row r="399" ht="15.75">
      <c r="A399" s="34"/>
    </row>
    <row r="400" ht="15.75">
      <c r="A400" s="34"/>
    </row>
    <row r="401" ht="15.75">
      <c r="A401" s="34"/>
    </row>
    <row r="402" ht="15.75">
      <c r="A402" s="34"/>
    </row>
    <row r="403" ht="15.75">
      <c r="A403" s="34"/>
    </row>
    <row r="404" ht="15.75">
      <c r="A404" s="34"/>
    </row>
    <row r="405" ht="15.75">
      <c r="A405" s="34"/>
    </row>
    <row r="406" ht="15.75">
      <c r="A406" s="34"/>
    </row>
    <row r="407" ht="15.75">
      <c r="A407" s="34"/>
    </row>
    <row r="408" ht="15.75">
      <c r="A408" s="34"/>
    </row>
    <row r="409" ht="15.75">
      <c r="A409" s="34"/>
    </row>
    <row r="410" ht="15.75">
      <c r="A410" s="34"/>
    </row>
    <row r="411" ht="15.75">
      <c r="A411" s="34"/>
    </row>
    <row r="412" ht="15.75">
      <c r="A412" s="34"/>
    </row>
    <row r="413" ht="15.75">
      <c r="A413" s="34"/>
    </row>
    <row r="414" ht="15.75">
      <c r="A414" s="34"/>
    </row>
    <row r="415" ht="15.75">
      <c r="A415" s="34"/>
    </row>
    <row r="416" ht="15.75">
      <c r="A416" s="34"/>
    </row>
  </sheetData>
  <mergeCells count="39">
    <mergeCell ref="K1:Q1"/>
    <mergeCell ref="A2:Q2"/>
    <mergeCell ref="A38:Q38"/>
    <mergeCell ref="K5:Q5"/>
    <mergeCell ref="A7:Q7"/>
    <mergeCell ref="A8:Q8"/>
    <mergeCell ref="A143:Q143"/>
    <mergeCell ref="A131:Q131"/>
    <mergeCell ref="A191:Q191"/>
    <mergeCell ref="A158:Q158"/>
    <mergeCell ref="A171:Q171"/>
    <mergeCell ref="A186:Q186"/>
    <mergeCell ref="A155:C155"/>
    <mergeCell ref="A157:Q157"/>
    <mergeCell ref="A168:Q168"/>
    <mergeCell ref="A108:Q108"/>
    <mergeCell ref="D4:Q4"/>
    <mergeCell ref="A4:A6"/>
    <mergeCell ref="B4:B6"/>
    <mergeCell ref="C4:C6"/>
    <mergeCell ref="A57:Q57"/>
    <mergeCell ref="A60:Q60"/>
    <mergeCell ref="D5:J5"/>
    <mergeCell ref="A284:Q284"/>
    <mergeCell ref="A226:C226"/>
    <mergeCell ref="A278:Q278"/>
    <mergeCell ref="A228:Q228"/>
    <mergeCell ref="A229:Q229"/>
    <mergeCell ref="A244:Q244"/>
    <mergeCell ref="B349:Q349"/>
    <mergeCell ref="A340:C340"/>
    <mergeCell ref="A212:Q212"/>
    <mergeCell ref="A199:Q199"/>
    <mergeCell ref="A348:Q348"/>
    <mergeCell ref="A347:Q347"/>
    <mergeCell ref="A342:C342"/>
    <mergeCell ref="A292:Q292"/>
    <mergeCell ref="A306:Q306"/>
    <mergeCell ref="A207:Q207"/>
  </mergeCells>
  <printOptions/>
  <pageMargins left="0.5511811023622047" right="0.4330708661417323" top="0.7874015748031497" bottom="0.5905511811023623" header="0.5118110236220472" footer="0.5118110236220472"/>
  <pageSetup fitToHeight="15" horizontalDpi="600" verticalDpi="600" orientation="landscape" paperSize="9" scale="85" r:id="rId1"/>
  <rowBreaks count="7" manualBreakCount="7">
    <brk id="30" max="16" man="1"/>
    <brk id="59" max="16" man="1"/>
    <brk id="88" max="16" man="1"/>
    <brk id="146" max="16" man="1"/>
    <brk id="174" max="16" man="1"/>
    <brk id="222" max="16" man="1"/>
    <brk id="2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SapojnikovaMW</dc:creator>
  <cp:keywords/>
  <dc:description/>
  <cp:lastModifiedBy>Andreeva</cp:lastModifiedBy>
  <cp:lastPrinted>2014-10-06T06:49:37Z</cp:lastPrinted>
  <dcterms:created xsi:type="dcterms:W3CDTF">2010-12-06T06:33:10Z</dcterms:created>
  <dcterms:modified xsi:type="dcterms:W3CDTF">2014-10-07T07:30:18Z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</Properties>
</file>