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904" activeTab="0"/>
  </bookViews>
  <sheets>
    <sheet name="130" sheetId="1" r:id="rId1"/>
    <sheet name="сводная по РМЭ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H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 идут цифры</t>
        </r>
      </text>
    </comment>
    <comment ref="P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в Сурокском д/с показатель 19,5 . Я округлила до 20</t>
        </r>
      </text>
    </comment>
  </commentList>
</comments>
</file>

<file path=xl/sharedStrings.xml><?xml version="1.0" encoding="utf-8"?>
<sst xmlns="http://schemas.openxmlformats.org/spreadsheetml/2006/main" count="507" uniqueCount="218">
  <si>
    <t>ПОКАЗАТЕЛИ ДЕЯТЕЛЬНОСТИ ПО РЕЗУЛЬТАТАМ САМООБСЛЕДОВАНИЯ 
(2014 - 2015 учебный год)</t>
  </si>
  <si>
    <t>№п/п</t>
  </si>
  <si>
    <t>Показатели</t>
  </si>
  <si>
    <t>Единица измерения</t>
  </si>
  <si>
    <t>Абсолютное</t>
  </si>
  <si>
    <t>Относительное</t>
  </si>
  <si>
    <t>Образовательная деятельность</t>
  </si>
  <si>
    <t>1.1</t>
  </si>
  <si>
    <t>Общая численность воспитанников, осваивающих образовательную программу дошкольного образования, в том числе:</t>
  </si>
  <si>
    <t>человек</t>
  </si>
  <si>
    <t>1.1.1</t>
  </si>
  <si>
    <t>В режиме полного дня (8 - 12 часов)</t>
  </si>
  <si>
    <t>человек/%</t>
  </si>
  <si>
    <t>1.1.2</t>
  </si>
  <si>
    <t>В режиме кратковременного пребывания (3 - 5 часов)</t>
  </si>
  <si>
    <t>1.1.3</t>
  </si>
  <si>
    <t>В семейной дошкольной группе</t>
  </si>
  <si>
    <t>1.1.4</t>
  </si>
  <si>
    <t>В форме семейного образования с психолого-педагогическим сопровождением на базе дошкольной образовательной организации</t>
  </si>
  <si>
    <t>1.2</t>
  </si>
  <si>
    <t>Общая численность воспитанников в возрасте до 3 лет</t>
  </si>
  <si>
    <t>1.3</t>
  </si>
  <si>
    <t>Общая численность воспитанников в возрасте от 3 до 8 лет</t>
  </si>
  <si>
    <t>1.4</t>
  </si>
  <si>
    <t>Численность/удельный вес численности воспитанников в общей численности воспитанников, получающих услуги присмотра и ухода:</t>
  </si>
  <si>
    <t>1.4.1</t>
  </si>
  <si>
    <t>1.4.2</t>
  </si>
  <si>
    <t>В режиме продленного дня (12 - 14 часов)</t>
  </si>
  <si>
    <t>1.4.3</t>
  </si>
  <si>
    <t>В режиме круглосуточного пребывания</t>
  </si>
  <si>
    <t>1.5</t>
  </si>
  <si>
    <t>Численность/удельный вес численности воспитанников с ограниченными возможностями здоровья в общей численности воспитанников, получающих услуги:</t>
  </si>
  <si>
    <t>1.5.1</t>
  </si>
  <si>
    <t>По коррекции недостатков в физическом и (или) психическом развитии</t>
  </si>
  <si>
    <t>1.5.2</t>
  </si>
  <si>
    <t>По освоению образовательной программы дошкольного образования</t>
  </si>
  <si>
    <t>1.5.3</t>
  </si>
  <si>
    <t>По присмотру и уходу</t>
  </si>
  <si>
    <t>1.6</t>
  </si>
  <si>
    <t>Средний показатель пропущенных дней при посещении дошкольной образовательной организации по болезни на одного воспитанника</t>
  </si>
  <si>
    <t>день</t>
  </si>
  <si>
    <t>1.7</t>
  </si>
  <si>
    <t>Общая численность педагогических работников, в том числе:</t>
  </si>
  <si>
    <t>1.7.1</t>
  </si>
  <si>
    <t>Численность/удельный вес численности педагогических работников, имеющих высшее образование</t>
  </si>
  <si>
    <t>1.7.2</t>
  </si>
  <si>
    <t>Численность/удельный вес численности педагогических работников, имеющих высшее образование педагогической направленности (профиля)</t>
  </si>
  <si>
    <t>1.7.3</t>
  </si>
  <si>
    <t>Численность/удельный вес численности педагогических работников, имеющих среднее профессиональное образование</t>
  </si>
  <si>
    <t>1.7.4</t>
  </si>
  <si>
    <t>Численность/удельный вес численности педагогических работников, имеющих среднее профессиональное образование педагогической направленности (профиля)</t>
  </si>
  <si>
    <t>1.8</t>
  </si>
  <si>
    <t>Численность/удельный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работников, в том числе:</t>
  </si>
  <si>
    <t>1.8.1</t>
  </si>
  <si>
    <t>Высшая</t>
  </si>
  <si>
    <t>1.8.2</t>
  </si>
  <si>
    <t>Первая</t>
  </si>
  <si>
    <t>1.9</t>
  </si>
  <si>
    <t>Численность/удельный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</si>
  <si>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1.9.1</t>
  </si>
  <si>
    <t>До 5 лет</t>
  </si>
  <si>
    <t>1.9.2</t>
  </si>
  <si>
    <t>Свыше 30 лет</t>
  </si>
  <si>
    <t>1.10</t>
  </si>
  <si>
    <t>Численность/удельный вес численности педагогических работников в общей численности педагогических работников в возрасте до 30 лет</t>
  </si>
  <si>
    <t>1.11</t>
  </si>
  <si>
    <t>Численность/удельный вес численности педагогических работников в общей численности педагогических работников в возрасте от 55 лет</t>
  </si>
  <si>
    <t>1.12</t>
  </si>
  <si>
    <t>Численность/удельный вес численности педагогических и административно-хозяйственных работников, прошедших за последние 5 лет повышение квалификации/профессиональную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</si>
  <si>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>1.13</t>
  </si>
  <si>
    <t>Численность/удельный        вес        численности        педагогических        и административно-хозяйственных   работников,   прошедших   повышение квалификации      по      применению      в      образовательном      процессе федеральных  государственных  образовательных  стандартов  в  общей численности       педагогических       и       административно-хозяйственных работников</t>
  </si>
  <si>
    <t>1.14</t>
  </si>
  <si>
    <t>Соотношение 'педагогический работник/воспитанник' в дошкольной образовательной организации</t>
  </si>
  <si>
    <t>человек/человек</t>
  </si>
  <si>
    <t>1.15</t>
  </si>
  <si>
    <t>Наличие в образовательной организации следующих педагогических работников:</t>
  </si>
  <si>
    <t>1.15.1</t>
  </si>
  <si>
    <t>Музыкального руководителя</t>
  </si>
  <si>
    <t>да/нет</t>
  </si>
  <si>
    <t>Да</t>
  </si>
  <si>
    <t>Нет</t>
  </si>
  <si>
    <t>1.15.2</t>
  </si>
  <si>
    <t>Инструктора по физической культуре</t>
  </si>
  <si>
    <t>1.15.3</t>
  </si>
  <si>
    <t>Учителя-логопеда</t>
  </si>
  <si>
    <t>1.15.4</t>
  </si>
  <si>
    <t>Логопеда</t>
  </si>
  <si>
    <t>1.15.5</t>
  </si>
  <si>
    <t>Учителя-дефектолога</t>
  </si>
  <si>
    <t>1.15.6</t>
  </si>
  <si>
    <t>Педагога-психолога</t>
  </si>
  <si>
    <t>Инфраструктура</t>
  </si>
  <si>
    <t>2.1</t>
  </si>
  <si>
    <t>Общая площадь помещений, в которых осуществляется образовательная деятельность, в расчете на одного воспитанника</t>
  </si>
  <si>
    <t>кв.м</t>
  </si>
  <si>
    <t>2.2</t>
  </si>
  <si>
    <t>Площадь помещений для организации дополнительных видов деятельности воспитанников</t>
  </si>
  <si>
    <t>2.3</t>
  </si>
  <si>
    <t>Наличие физкультурного зала</t>
  </si>
  <si>
    <t>2.4</t>
  </si>
  <si>
    <t>Наличие музыкального зала</t>
  </si>
  <si>
    <t>2.5</t>
  </si>
  <si>
    <t>Наличие прогулочных площадок, обеспечивающих физическую активность и разнообразную игровую деятельность воспитанников на прогулке</t>
  </si>
  <si>
    <t>МДОУ «Оршанский детский сад «Колокольчик»</t>
  </si>
  <si>
    <t>Оршанский район</t>
  </si>
  <si>
    <t>9ДА/1НЕТ</t>
  </si>
  <si>
    <t>5ДА/5НЕТ</t>
  </si>
  <si>
    <t>8ДА/2НЕТ</t>
  </si>
  <si>
    <t>1ДА/9НЕТ</t>
  </si>
  <si>
    <t>6ДА/4НЕТ</t>
  </si>
  <si>
    <t>7ДА/3НЕТ</t>
  </si>
  <si>
    <t>7ДА/1НЕТ</t>
  </si>
  <si>
    <t>7ДА/2НЕТ</t>
  </si>
  <si>
    <t>1ДА/8НЕТ</t>
  </si>
  <si>
    <t>3ДА/6НЕТ</t>
  </si>
  <si>
    <t>0ДА/9НЕТ</t>
  </si>
  <si>
    <t>4ДА/5НЕТ</t>
  </si>
  <si>
    <t>2ДА/7НЕТ</t>
  </si>
  <si>
    <t>9ДА/0НЕТ</t>
  </si>
  <si>
    <t>16ДА/0НЕТ</t>
  </si>
  <si>
    <t>11ДА/5НЕТ</t>
  </si>
  <si>
    <t>4ДА/12НЕТ</t>
  </si>
  <si>
    <t>1ДА/15НЕТ</t>
  </si>
  <si>
    <t>7ДА/9НЕТ</t>
  </si>
  <si>
    <t>9ДА/7НЕТ</t>
  </si>
  <si>
    <t>14ДА/2НЕТ</t>
  </si>
  <si>
    <t>2ДА/6НЕТ</t>
  </si>
  <si>
    <t>1ДА/7НЕТ</t>
  </si>
  <si>
    <t>4ДА/4НЕТ</t>
  </si>
  <si>
    <t>3ДА/5НЕТ</t>
  </si>
  <si>
    <t>8ДА/0НЕТ</t>
  </si>
  <si>
    <t>2ДА/8НЕТ</t>
  </si>
  <si>
    <t>3ДА/7НЕТ</t>
  </si>
  <si>
    <t>15ДА/4НЕТ</t>
  </si>
  <si>
    <t>4ДА/15НЕТ</t>
  </si>
  <si>
    <t>3ДА/16НЕТ</t>
  </si>
  <si>
    <t>0ДА/19НЕТ</t>
  </si>
  <si>
    <t>8ДА/11НЕТ</t>
  </si>
  <si>
    <t>10ДА/9НЕТ</t>
  </si>
  <si>
    <t>19ДА/0НЕТ</t>
  </si>
  <si>
    <t>19ДА/3НЕТ</t>
  </si>
  <si>
    <t>11ДА/11НЕТ</t>
  </si>
  <si>
    <t>0ДА/22НЕТ</t>
  </si>
  <si>
    <t>2ДА/20НЕТ</t>
  </si>
  <si>
    <t>20ДА/2НЕТ</t>
  </si>
  <si>
    <t>22ДА/0НЕТ</t>
  </si>
  <si>
    <t>5ДА/1НЕТ</t>
  </si>
  <si>
    <t>1ДА/5НЕТ</t>
  </si>
  <si>
    <t>6ДА/0НЕТ</t>
  </si>
  <si>
    <t>0ДА/6НЕТ</t>
  </si>
  <si>
    <t>3ДА/3НЕТ</t>
  </si>
  <si>
    <t>9ДА/2НЕТ</t>
  </si>
  <si>
    <t>3ДА/8НЕТ</t>
  </si>
  <si>
    <t>0ДА/11НЕТ</t>
  </si>
  <si>
    <t>5ДА/6НЕТ</t>
  </si>
  <si>
    <t>8ДА/3НЕТ</t>
  </si>
  <si>
    <t>11ДА/0НЕТ</t>
  </si>
  <si>
    <t>6ДА/3НЕТ</t>
  </si>
  <si>
    <t>7ДА/6НЕТ</t>
  </si>
  <si>
    <t>2ДА/11НЕТ</t>
  </si>
  <si>
    <t>4ДА/9НЕТ</t>
  </si>
  <si>
    <t>0ДА/13НЕТ</t>
  </si>
  <si>
    <t>3ДА/10НЕТ</t>
  </si>
  <si>
    <t>6ДА/7НЕТ</t>
  </si>
  <si>
    <t>9ДА/4НЕТ</t>
  </si>
  <si>
    <t>13ДА/0НЕТ</t>
  </si>
  <si>
    <t>0ДА/8НЕТ</t>
  </si>
  <si>
    <t>10ДА/3НЕТ</t>
  </si>
  <si>
    <t>5ДА/8НЕТ</t>
  </si>
  <si>
    <t>1ДА/12НЕТ</t>
  </si>
  <si>
    <t>12ДА/1НЕТ</t>
  </si>
  <si>
    <t>20ДА/0НЕТ</t>
  </si>
  <si>
    <t>17ДА/3НЕТ</t>
  </si>
  <si>
    <t>18ДА/2НЕТ</t>
  </si>
  <si>
    <t>1ДА/19НЕТ</t>
  </si>
  <si>
    <t>6ДА/14НЕТ</t>
  </si>
  <si>
    <t>15ДА/5НЕТ</t>
  </si>
  <si>
    <t>64ДА/1НЕТ</t>
  </si>
  <si>
    <t>39ДА/26НЕТ</t>
  </si>
  <si>
    <t>53ДА/12НЕТ</t>
  </si>
  <si>
    <t>2ДА/63НЕТ</t>
  </si>
  <si>
    <t>17ДА/48НЕТ</t>
  </si>
  <si>
    <t>43ДА/22НЕТ</t>
  </si>
  <si>
    <t>34ДА/31НЕТ</t>
  </si>
  <si>
    <t>62ДА/3НЕТ</t>
  </si>
  <si>
    <t>65ДА/0НЕТ</t>
  </si>
  <si>
    <t>Республика Марий Эл</t>
  </si>
  <si>
    <t>Волжский р-он</t>
  </si>
  <si>
    <t>Горномарийский р-он</t>
  </si>
  <si>
    <t>Звениговский р-он</t>
  </si>
  <si>
    <t>Килемарский р-он</t>
  </si>
  <si>
    <t>Куженерский р-он</t>
  </si>
  <si>
    <t>Мари-Турекский р-он</t>
  </si>
  <si>
    <t>Медведевский р-он</t>
  </si>
  <si>
    <t>Всего</t>
  </si>
  <si>
    <t>Моркинский р-он</t>
  </si>
  <si>
    <t>Новоторъяльский р-он</t>
  </si>
  <si>
    <t>Оршанский р-он</t>
  </si>
  <si>
    <t>Параньгинский р-он</t>
  </si>
  <si>
    <t>Сернурский р-он</t>
  </si>
  <si>
    <t>Советский р-он</t>
  </si>
  <si>
    <t>Юринский р-он</t>
  </si>
  <si>
    <t>г.Волжск</t>
  </si>
  <si>
    <t>г.Йошкар-Ола</t>
  </si>
  <si>
    <t>г.Козьмодемьянск</t>
  </si>
  <si>
    <t>213ДА/33НЕТ</t>
  </si>
  <si>
    <t>109ДА/137НЕТ</t>
  </si>
  <si>
    <t>136ДА/110НЕТ</t>
  </si>
  <si>
    <t>9ДА/237НЕТ</t>
  </si>
  <si>
    <t>29ДА/217НЕТ</t>
  </si>
  <si>
    <t>97ДА/149НЕТ</t>
  </si>
  <si>
    <t>118ДА/129НЕТ</t>
  </si>
  <si>
    <t>194ДА/52НЕТ</t>
  </si>
  <si>
    <t>244ДА/2НЕТ</t>
  </si>
  <si>
    <t>ДА</t>
  </si>
  <si>
    <r>
      <t xml:space="preserve">Площадь помещений для организации дополнительных видов деятельности воспитанников  /  </t>
    </r>
    <r>
      <rPr>
        <b/>
        <sz val="14"/>
        <color indexed="8"/>
        <rFont val="Times New Roman"/>
        <family val="1"/>
      </rPr>
      <t>на одного воспитанника (справа, в соседней клетке)</t>
    </r>
  </si>
  <si>
    <r>
      <t>Не менее 2,5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на 1 ребенка для ясельных групп, не менее 2,0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– для дошкольных групп</t>
    </r>
  </si>
  <si>
    <t>П. 1.10 постановления Главного государственного санитарного врача РФ от 22.07.2010 № 91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</si>
</sst>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3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vertAlign val="superscript"/>
      <sz val="12"/>
      <color indexed="8"/>
      <name val="Times New Roman"/>
      <family val="1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1" fillId="0" borderId="10" xfId="0" applyFont="1" applyFill="1" applyBorder="1" applyAlignment="1" applyProtection="1">
      <alignment vertical="justify" wrapText="1"/>
      <protection/>
    </xf>
    <xf numFmtId="0" fontId="2" fillId="0" borderId="10" xfId="0" applyFont="1" applyFill="1" applyBorder="1" applyAlignment="1" applyProtection="1">
      <alignment vertical="justify" wrapText="1"/>
      <protection/>
    </xf>
    <xf numFmtId="49" fontId="1" fillId="0" borderId="10" xfId="0" applyNumberFormat="1" applyFont="1" applyFill="1" applyBorder="1" applyAlignment="1" applyProtection="1">
      <alignment vertical="justify" wrapText="1"/>
      <protection/>
    </xf>
    <xf numFmtId="49" fontId="2" fillId="0" borderId="10" xfId="0" applyNumberFormat="1" applyFont="1" applyFill="1" applyBorder="1" applyAlignment="1" applyProtection="1">
      <alignment vertical="justify" wrapText="1"/>
      <protection/>
    </xf>
    <xf numFmtId="2" fontId="1" fillId="0" borderId="10" xfId="0" applyNumberFormat="1" applyFont="1" applyFill="1" applyBorder="1" applyAlignment="1" applyProtection="1">
      <alignment horizontal="right" vertical="justify" wrapText="1"/>
      <protection/>
    </xf>
    <xf numFmtId="2" fontId="2" fillId="0" borderId="10" xfId="0" applyNumberFormat="1" applyFont="1" applyFill="1" applyBorder="1" applyAlignment="1" applyProtection="1">
      <alignment horizontal="right" vertical="justify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32" borderId="11" xfId="0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right" vertical="justify" wrapText="1"/>
      <protection/>
    </xf>
    <xf numFmtId="2" fontId="4" fillId="0" borderId="10" xfId="0" applyNumberFormat="1" applyFont="1" applyFill="1" applyBorder="1" applyAlignment="1" applyProtection="1">
      <alignment horizontal="right" vertical="justify" wrapText="1"/>
      <protection/>
    </xf>
    <xf numFmtId="0" fontId="2" fillId="32" borderId="11" xfId="0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 applyProtection="1">
      <alignment horizontal="right" vertical="justify" wrapText="1"/>
      <protection/>
    </xf>
    <xf numFmtId="2" fontId="4" fillId="3" borderId="10" xfId="0" applyNumberFormat="1" applyFont="1" applyFill="1" applyBorder="1" applyAlignment="1" applyProtection="1">
      <alignment horizontal="right" vertical="justify" wrapText="1"/>
      <protection/>
    </xf>
    <xf numFmtId="165" fontId="4" fillId="0" borderId="10" xfId="0" applyNumberFormat="1" applyFont="1" applyFill="1" applyBorder="1" applyAlignment="1" applyProtection="1">
      <alignment horizontal="right" vertical="justify" wrapText="1"/>
      <protection/>
    </xf>
    <xf numFmtId="49" fontId="2" fillId="32" borderId="10" xfId="0" applyNumberFormat="1" applyFont="1" applyFill="1" applyBorder="1" applyAlignment="1" applyProtection="1">
      <alignment vertical="justify" wrapText="1"/>
      <protection/>
    </xf>
    <xf numFmtId="0" fontId="2" fillId="32" borderId="10" xfId="0" applyFont="1" applyFill="1" applyBorder="1" applyAlignment="1" applyProtection="1">
      <alignment vertical="justify" wrapText="1"/>
      <protection/>
    </xf>
    <xf numFmtId="2" fontId="4" fillId="32" borderId="10" xfId="0" applyNumberFormat="1" applyFont="1" applyFill="1" applyBorder="1" applyAlignment="1" applyProtection="1">
      <alignment horizontal="right" vertical="justify" wrapText="1"/>
      <protection/>
    </xf>
    <xf numFmtId="2" fontId="2" fillId="32" borderId="10" xfId="0" applyNumberFormat="1" applyFont="1" applyFill="1" applyBorder="1" applyAlignment="1" applyProtection="1">
      <alignment horizontal="right" vertical="justify" wrapText="1"/>
      <protection/>
    </xf>
    <xf numFmtId="0" fontId="2" fillId="32" borderId="10" xfId="0" applyFont="1" applyFill="1" applyBorder="1" applyAlignment="1" applyProtection="1">
      <alignment/>
      <protection/>
    </xf>
    <xf numFmtId="49" fontId="1" fillId="32" borderId="10" xfId="0" applyNumberFormat="1" applyFont="1" applyFill="1" applyBorder="1" applyAlignment="1" applyProtection="1">
      <alignment vertical="justify" wrapText="1"/>
      <protection/>
    </xf>
    <xf numFmtId="0" fontId="1" fillId="32" borderId="10" xfId="0" applyFont="1" applyFill="1" applyBorder="1" applyAlignment="1" applyProtection="1">
      <alignment vertical="justify" wrapText="1"/>
      <protection/>
    </xf>
    <xf numFmtId="2" fontId="3" fillId="32" borderId="10" xfId="0" applyNumberFormat="1" applyFont="1" applyFill="1" applyBorder="1" applyAlignment="1" applyProtection="1">
      <alignment horizontal="right" vertical="justify" wrapText="1"/>
      <protection/>
    </xf>
    <xf numFmtId="0" fontId="0" fillId="32" borderId="0" xfId="0" applyFill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vertical="justify" wrapText="1"/>
      <protection/>
    </xf>
    <xf numFmtId="0" fontId="2" fillId="33" borderId="10" xfId="0" applyFont="1" applyFill="1" applyBorder="1" applyAlignment="1" applyProtection="1">
      <alignment vertical="justify" wrapText="1"/>
      <protection/>
    </xf>
    <xf numFmtId="0" fontId="2" fillId="0" borderId="10" xfId="0" applyFont="1" applyFill="1" applyBorder="1" applyAlignment="1" applyProtection="1">
      <alignment vertical="justify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 applyProtection="1">
      <alignment vertical="top" wrapText="1"/>
      <protection/>
    </xf>
    <xf numFmtId="0" fontId="0" fillId="32" borderId="11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justify" wrapText="1"/>
      <protection/>
    </xf>
    <xf numFmtId="0" fontId="2" fillId="0" borderId="10" xfId="0" applyFont="1" applyFill="1" applyBorder="1" applyAlignment="1" applyProtection="1">
      <alignment horizontal="center" vertical="justify" wrapText="1"/>
      <protection/>
    </xf>
    <xf numFmtId="0" fontId="1" fillId="0" borderId="10" xfId="0" applyFont="1" applyFill="1" applyBorder="1" applyAlignment="1" applyProtection="1">
      <alignment horizontal="center" vertical="justify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0" fillId="3" borderId="10" xfId="0" applyFill="1" applyBorder="1" applyAlignment="1" applyProtection="1">
      <alignment/>
      <protection/>
    </xf>
    <xf numFmtId="0" fontId="2" fillId="32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F4" sqref="F4:G51"/>
    </sheetView>
  </sheetViews>
  <sheetFormatPr defaultColWidth="9.140625" defaultRowHeight="15"/>
  <cols>
    <col min="2" max="2" width="96.28125" style="0" customWidth="1"/>
    <col min="3" max="3" width="14.00390625" style="0" customWidth="1"/>
    <col min="4" max="5" width="12.00390625" style="0" customWidth="1"/>
  </cols>
  <sheetData>
    <row r="1" spans="1:5" ht="49.5" customHeight="1">
      <c r="A1" s="35" t="s">
        <v>104</v>
      </c>
      <c r="B1" s="35"/>
      <c r="C1" s="35"/>
      <c r="D1" s="35"/>
      <c r="E1" s="35"/>
    </row>
    <row r="2" spans="1:5" ht="30" customHeight="1">
      <c r="A2" s="35" t="s">
        <v>0</v>
      </c>
      <c r="B2" s="35"/>
      <c r="C2" s="35"/>
      <c r="D2" s="35"/>
      <c r="E2" s="35"/>
    </row>
    <row r="3" spans="1:5" ht="15">
      <c r="A3" s="35"/>
      <c r="B3" s="35"/>
      <c r="C3" s="35"/>
      <c r="D3" s="35"/>
      <c r="E3" s="35"/>
    </row>
    <row r="4" spans="1:5" ht="76.5" customHeight="1">
      <c r="A4" s="35" t="s">
        <v>1</v>
      </c>
      <c r="B4" s="35" t="s">
        <v>2</v>
      </c>
      <c r="C4" s="35" t="s">
        <v>3</v>
      </c>
      <c r="D4" s="33" t="s">
        <v>103</v>
      </c>
      <c r="E4" s="35"/>
    </row>
    <row r="5" spans="1:5" ht="37.5">
      <c r="A5" s="36"/>
      <c r="B5" s="36"/>
      <c r="C5" s="36"/>
      <c r="D5" s="8" t="s">
        <v>4</v>
      </c>
      <c r="E5" s="8" t="s">
        <v>5</v>
      </c>
    </row>
    <row r="6" spans="1:5" ht="18.75">
      <c r="A6" s="4">
        <v>1</v>
      </c>
      <c r="B6" s="2" t="s">
        <v>6</v>
      </c>
      <c r="C6" s="2"/>
      <c r="D6" s="6"/>
      <c r="E6" s="6"/>
    </row>
    <row r="7" spans="1:5" ht="37.5">
      <c r="A7" s="5" t="s">
        <v>7</v>
      </c>
      <c r="B7" s="3" t="s">
        <v>8</v>
      </c>
      <c r="C7" s="3" t="s">
        <v>9</v>
      </c>
      <c r="D7" s="7">
        <v>201</v>
      </c>
      <c r="E7" s="7"/>
    </row>
    <row r="8" spans="1:5" ht="18.75">
      <c r="A8" s="5" t="s">
        <v>10</v>
      </c>
      <c r="B8" s="3" t="s">
        <v>11</v>
      </c>
      <c r="C8" s="3" t="s">
        <v>12</v>
      </c>
      <c r="D8" s="7">
        <v>201</v>
      </c>
      <c r="E8" s="7">
        <v>100</v>
      </c>
    </row>
    <row r="9" spans="1:5" ht="18.75">
      <c r="A9" s="5" t="s">
        <v>13</v>
      </c>
      <c r="B9" s="3" t="s">
        <v>14</v>
      </c>
      <c r="C9" s="3" t="s">
        <v>12</v>
      </c>
      <c r="D9" s="7">
        <v>0</v>
      </c>
      <c r="E9" s="7">
        <v>0</v>
      </c>
    </row>
    <row r="10" spans="1:5" ht="18.75">
      <c r="A10" s="5" t="s">
        <v>15</v>
      </c>
      <c r="B10" s="3" t="s">
        <v>16</v>
      </c>
      <c r="C10" s="3" t="s">
        <v>12</v>
      </c>
      <c r="D10" s="7">
        <v>0</v>
      </c>
      <c r="E10" s="7">
        <v>0</v>
      </c>
    </row>
    <row r="11" spans="1:5" ht="37.5">
      <c r="A11" s="5" t="s">
        <v>17</v>
      </c>
      <c r="B11" s="3" t="s">
        <v>18</v>
      </c>
      <c r="C11" s="3" t="s">
        <v>12</v>
      </c>
      <c r="D11" s="7">
        <v>0</v>
      </c>
      <c r="E11" s="7">
        <v>0</v>
      </c>
    </row>
    <row r="12" spans="1:5" ht="18.75">
      <c r="A12" s="5" t="s">
        <v>19</v>
      </c>
      <c r="B12" s="3" t="s">
        <v>20</v>
      </c>
      <c r="C12" s="3" t="s">
        <v>12</v>
      </c>
      <c r="D12" s="7">
        <v>20</v>
      </c>
      <c r="E12" s="7"/>
    </row>
    <row r="13" spans="1:5" ht="18.75">
      <c r="A13" s="5" t="s">
        <v>21</v>
      </c>
      <c r="B13" s="3" t="s">
        <v>22</v>
      </c>
      <c r="C13" s="3" t="s">
        <v>9</v>
      </c>
      <c r="D13" s="7">
        <v>181</v>
      </c>
      <c r="E13" s="7"/>
    </row>
    <row r="14" spans="1:5" ht="37.5">
      <c r="A14" s="5" t="s">
        <v>23</v>
      </c>
      <c r="B14" s="3" t="s">
        <v>24</v>
      </c>
      <c r="C14" s="3" t="s">
        <v>12</v>
      </c>
      <c r="D14" s="7">
        <v>201</v>
      </c>
      <c r="E14" s="7">
        <v>100</v>
      </c>
    </row>
    <row r="15" spans="1:5" ht="18.75">
      <c r="A15" s="5" t="s">
        <v>25</v>
      </c>
      <c r="B15" s="3" t="s">
        <v>11</v>
      </c>
      <c r="C15" s="3" t="s">
        <v>12</v>
      </c>
      <c r="D15" s="7">
        <v>0</v>
      </c>
      <c r="E15" s="7">
        <v>0</v>
      </c>
    </row>
    <row r="16" spans="1:5" ht="18.75">
      <c r="A16" s="5" t="s">
        <v>26</v>
      </c>
      <c r="B16" s="3" t="s">
        <v>27</v>
      </c>
      <c r="C16" s="3" t="s">
        <v>12</v>
      </c>
      <c r="D16" s="7">
        <v>0</v>
      </c>
      <c r="E16" s="7">
        <v>0</v>
      </c>
    </row>
    <row r="17" spans="1:5" ht="18.75">
      <c r="A17" s="5" t="s">
        <v>28</v>
      </c>
      <c r="B17" s="3" t="s">
        <v>29</v>
      </c>
      <c r="C17" s="3" t="s">
        <v>12</v>
      </c>
      <c r="D17" s="7">
        <v>0</v>
      </c>
      <c r="E17" s="7">
        <v>0</v>
      </c>
    </row>
    <row r="18" spans="1:5" ht="56.25">
      <c r="A18" s="5" t="s">
        <v>30</v>
      </c>
      <c r="B18" s="3" t="s">
        <v>31</v>
      </c>
      <c r="C18" s="3" t="s">
        <v>12</v>
      </c>
      <c r="D18" s="7">
        <v>0</v>
      </c>
      <c r="E18" s="7">
        <v>0</v>
      </c>
    </row>
    <row r="19" spans="1:5" ht="18.75">
      <c r="A19" s="5" t="s">
        <v>32</v>
      </c>
      <c r="B19" s="3" t="s">
        <v>33</v>
      </c>
      <c r="C19" s="3" t="s">
        <v>12</v>
      </c>
      <c r="D19" s="7">
        <v>0</v>
      </c>
      <c r="E19" s="7">
        <v>0</v>
      </c>
    </row>
    <row r="20" spans="1:5" ht="18.75">
      <c r="A20" s="5" t="s">
        <v>34</v>
      </c>
      <c r="B20" s="3" t="s">
        <v>35</v>
      </c>
      <c r="C20" s="3" t="s">
        <v>12</v>
      </c>
      <c r="D20" s="7">
        <v>0</v>
      </c>
      <c r="E20" s="7">
        <v>0</v>
      </c>
    </row>
    <row r="21" spans="1:5" ht="18.75">
      <c r="A21" s="5" t="s">
        <v>36</v>
      </c>
      <c r="B21" s="3" t="s">
        <v>37</v>
      </c>
      <c r="C21" s="3" t="s">
        <v>12</v>
      </c>
      <c r="D21" s="7">
        <v>0</v>
      </c>
      <c r="E21" s="7">
        <v>0</v>
      </c>
    </row>
    <row r="22" spans="1:5" ht="37.5">
      <c r="A22" s="5" t="s">
        <v>38</v>
      </c>
      <c r="B22" s="3" t="s">
        <v>39</v>
      </c>
      <c r="C22" s="3" t="s">
        <v>40</v>
      </c>
      <c r="D22" s="7">
        <v>16</v>
      </c>
      <c r="E22" s="7"/>
    </row>
    <row r="23" spans="1:5" ht="18.75">
      <c r="A23" s="5" t="s">
        <v>41</v>
      </c>
      <c r="B23" s="3" t="s">
        <v>42</v>
      </c>
      <c r="C23" s="3" t="s">
        <v>9</v>
      </c>
      <c r="D23" s="7">
        <v>19</v>
      </c>
      <c r="E23" s="7"/>
    </row>
    <row r="24" spans="1:5" ht="37.5">
      <c r="A24" s="5" t="s">
        <v>43</v>
      </c>
      <c r="B24" s="3" t="s">
        <v>44</v>
      </c>
      <c r="C24" s="3" t="s">
        <v>12</v>
      </c>
      <c r="D24" s="7">
        <v>12</v>
      </c>
      <c r="E24" s="7">
        <v>57.89473684210526</v>
      </c>
    </row>
    <row r="25" spans="1:5" ht="37.5">
      <c r="A25" s="5" t="s">
        <v>45</v>
      </c>
      <c r="B25" s="3" t="s">
        <v>46</v>
      </c>
      <c r="C25" s="3" t="s">
        <v>12</v>
      </c>
      <c r="D25" s="7">
        <v>12</v>
      </c>
      <c r="E25" s="7">
        <v>47.36842105263158</v>
      </c>
    </row>
    <row r="26" spans="1:5" ht="37.5">
      <c r="A26" s="5" t="s">
        <v>47</v>
      </c>
      <c r="B26" s="3" t="s">
        <v>48</v>
      </c>
      <c r="C26" s="3" t="s">
        <v>12</v>
      </c>
      <c r="D26" s="7">
        <v>7</v>
      </c>
      <c r="E26" s="7">
        <v>36.8421052631579</v>
      </c>
    </row>
    <row r="27" spans="1:5" ht="56.25">
      <c r="A27" s="5" t="s">
        <v>49</v>
      </c>
      <c r="B27" s="3" t="s">
        <v>50</v>
      </c>
      <c r="C27" s="3" t="s">
        <v>12</v>
      </c>
      <c r="D27" s="7">
        <v>6</v>
      </c>
      <c r="E27" s="7">
        <v>31.57894736842105</v>
      </c>
    </row>
    <row r="28" spans="1:5" ht="56.25">
      <c r="A28" s="5" t="s">
        <v>51</v>
      </c>
      <c r="B28" s="3" t="s">
        <v>52</v>
      </c>
      <c r="C28" s="3" t="s">
        <v>12</v>
      </c>
      <c r="D28" s="7">
        <v>10</v>
      </c>
      <c r="E28" s="7">
        <v>52.63157894736842</v>
      </c>
    </row>
    <row r="29" spans="1:5" ht="18.75">
      <c r="A29" s="5" t="s">
        <v>53</v>
      </c>
      <c r="B29" s="3" t="s">
        <v>54</v>
      </c>
      <c r="C29" s="3" t="s">
        <v>12</v>
      </c>
      <c r="D29" s="7">
        <v>2</v>
      </c>
      <c r="E29" s="7">
        <v>10.526315789473685</v>
      </c>
    </row>
    <row r="30" spans="1:5" ht="18.75">
      <c r="A30" s="5" t="s">
        <v>55</v>
      </c>
      <c r="B30" s="3" t="s">
        <v>56</v>
      </c>
      <c r="C30" s="3" t="s">
        <v>12</v>
      </c>
      <c r="D30" s="7">
        <v>8</v>
      </c>
      <c r="E30" s="7">
        <v>26.31578947368421</v>
      </c>
    </row>
    <row r="31" spans="1:5" ht="56.25">
      <c r="A31" s="5" t="s">
        <v>57</v>
      </c>
      <c r="B31" s="3" t="s">
        <v>58</v>
      </c>
      <c r="C31" s="3" t="s">
        <v>12</v>
      </c>
      <c r="D31" s="7"/>
      <c r="E31" s="7"/>
    </row>
    <row r="32" spans="1:5" ht="18.75">
      <c r="A32" s="5" t="s">
        <v>59</v>
      </c>
      <c r="B32" s="3" t="s">
        <v>60</v>
      </c>
      <c r="C32" s="3" t="s">
        <v>12</v>
      </c>
      <c r="D32" s="7">
        <v>4</v>
      </c>
      <c r="E32" s="7">
        <v>21.05263157894737</v>
      </c>
    </row>
    <row r="33" spans="1:5" ht="18.75">
      <c r="A33" s="5" t="s">
        <v>61</v>
      </c>
      <c r="B33" s="3" t="s">
        <v>62</v>
      </c>
      <c r="C33" s="3" t="s">
        <v>12</v>
      </c>
      <c r="D33" s="7">
        <v>7</v>
      </c>
      <c r="E33" s="7">
        <v>36.8421052631579</v>
      </c>
    </row>
    <row r="34" spans="1:5" ht="37.5">
      <c r="A34" s="5" t="s">
        <v>63</v>
      </c>
      <c r="B34" s="3" t="s">
        <v>64</v>
      </c>
      <c r="C34" s="3" t="s">
        <v>12</v>
      </c>
      <c r="D34" s="7">
        <v>4</v>
      </c>
      <c r="E34" s="7">
        <v>21.05263157894737</v>
      </c>
    </row>
    <row r="35" spans="1:5" ht="37.5">
      <c r="A35" s="5" t="s">
        <v>65</v>
      </c>
      <c r="B35" s="3" t="s">
        <v>66</v>
      </c>
      <c r="C35" s="3" t="s">
        <v>12</v>
      </c>
      <c r="D35" s="7">
        <v>2</v>
      </c>
      <c r="E35" s="7">
        <v>10.526315789473685</v>
      </c>
    </row>
    <row r="36" spans="1:5" ht="112.5">
      <c r="A36" s="5" t="s">
        <v>67</v>
      </c>
      <c r="B36" s="3" t="s">
        <v>68</v>
      </c>
      <c r="C36" s="3" t="s">
        <v>12</v>
      </c>
      <c r="D36" s="7">
        <v>19</v>
      </c>
      <c r="E36" s="7">
        <v>43.18181818181818</v>
      </c>
    </row>
    <row r="37" spans="1:5" ht="112.5">
      <c r="A37" s="5" t="s">
        <v>69</v>
      </c>
      <c r="B37" s="3" t="s">
        <v>70</v>
      </c>
      <c r="C37" s="3" t="s">
        <v>12</v>
      </c>
      <c r="D37" s="7">
        <v>8</v>
      </c>
      <c r="E37" s="7">
        <v>18.181818181818183</v>
      </c>
    </row>
    <row r="38" spans="1:5" ht="37.5">
      <c r="A38" s="5" t="s">
        <v>71</v>
      </c>
      <c r="B38" s="3" t="s">
        <v>72</v>
      </c>
      <c r="C38" s="3" t="s">
        <v>73</v>
      </c>
      <c r="D38" s="7">
        <v>0.09</v>
      </c>
      <c r="E38" s="7"/>
    </row>
    <row r="39" spans="1:5" ht="37.5">
      <c r="A39" s="5" t="s">
        <v>74</v>
      </c>
      <c r="B39" s="3" t="s">
        <v>75</v>
      </c>
      <c r="C39" s="3"/>
      <c r="D39" s="7"/>
      <c r="E39" s="7"/>
    </row>
    <row r="40" spans="1:5" ht="18.75">
      <c r="A40" s="5" t="s">
        <v>76</v>
      </c>
      <c r="B40" s="3" t="s">
        <v>77</v>
      </c>
      <c r="C40" s="3" t="s">
        <v>78</v>
      </c>
      <c r="D40" s="7" t="s">
        <v>79</v>
      </c>
      <c r="E40" s="7"/>
    </row>
    <row r="41" spans="1:5" ht="18.75">
      <c r="A41" s="5" t="s">
        <v>81</v>
      </c>
      <c r="B41" s="3" t="s">
        <v>82</v>
      </c>
      <c r="C41" s="3" t="s">
        <v>78</v>
      </c>
      <c r="D41" s="7" t="s">
        <v>80</v>
      </c>
      <c r="E41" s="7"/>
    </row>
    <row r="42" spans="1:5" ht="18.75">
      <c r="A42" s="5" t="s">
        <v>83</v>
      </c>
      <c r="B42" s="3" t="s">
        <v>84</v>
      </c>
      <c r="C42" s="3" t="s">
        <v>78</v>
      </c>
      <c r="D42" s="7" t="s">
        <v>79</v>
      </c>
      <c r="E42" s="7"/>
    </row>
    <row r="43" spans="1:5" ht="18.75">
      <c r="A43" s="5" t="s">
        <v>85</v>
      </c>
      <c r="B43" s="3" t="s">
        <v>86</v>
      </c>
      <c r="C43" s="3" t="s">
        <v>78</v>
      </c>
      <c r="D43" s="7" t="s">
        <v>80</v>
      </c>
      <c r="E43" s="7"/>
    </row>
    <row r="44" spans="1:5" ht="18.75">
      <c r="A44" s="5" t="s">
        <v>87</v>
      </c>
      <c r="B44" s="3" t="s">
        <v>88</v>
      </c>
      <c r="C44" s="3" t="s">
        <v>78</v>
      </c>
      <c r="D44" s="7" t="s">
        <v>80</v>
      </c>
      <c r="E44" s="7"/>
    </row>
    <row r="45" spans="1:5" ht="18.75">
      <c r="A45" s="5" t="s">
        <v>89</v>
      </c>
      <c r="B45" s="3" t="s">
        <v>90</v>
      </c>
      <c r="C45" s="3" t="s">
        <v>78</v>
      </c>
      <c r="D45" s="7" t="s">
        <v>80</v>
      </c>
      <c r="E45" s="7"/>
    </row>
    <row r="46" spans="1:5" ht="18.75">
      <c r="A46" s="4">
        <v>2</v>
      </c>
      <c r="B46" s="2" t="s">
        <v>91</v>
      </c>
      <c r="C46" s="2"/>
      <c r="D46" s="6"/>
      <c r="E46" s="6"/>
    </row>
    <row r="47" spans="1:5" ht="37.5">
      <c r="A47" s="5" t="s">
        <v>92</v>
      </c>
      <c r="B47" s="3" t="s">
        <v>93</v>
      </c>
      <c r="C47" s="3" t="s">
        <v>94</v>
      </c>
      <c r="D47" s="7">
        <v>9.3532</v>
      </c>
      <c r="E47" s="7"/>
    </row>
    <row r="48" spans="1:5" ht="37.5">
      <c r="A48" s="5" t="s">
        <v>95</v>
      </c>
      <c r="B48" s="3" t="s">
        <v>96</v>
      </c>
      <c r="C48" s="3" t="s">
        <v>94</v>
      </c>
      <c r="D48" s="7">
        <v>9.5</v>
      </c>
      <c r="E48" s="7"/>
    </row>
    <row r="49" spans="1:5" ht="18.75">
      <c r="A49" s="5" t="s">
        <v>97</v>
      </c>
      <c r="B49" s="3" t="s">
        <v>98</v>
      </c>
      <c r="C49" s="3" t="s">
        <v>78</v>
      </c>
      <c r="D49" s="7" t="s">
        <v>80</v>
      </c>
      <c r="E49" s="7"/>
    </row>
    <row r="50" spans="1:5" ht="18.75">
      <c r="A50" s="5" t="s">
        <v>99</v>
      </c>
      <c r="B50" s="3" t="s">
        <v>100</v>
      </c>
      <c r="C50" s="3" t="s">
        <v>78</v>
      </c>
      <c r="D50" s="7" t="s">
        <v>79</v>
      </c>
      <c r="E50" s="7"/>
    </row>
    <row r="51" spans="1:5" ht="37.5">
      <c r="A51" s="5" t="s">
        <v>101</v>
      </c>
      <c r="B51" s="3" t="s">
        <v>102</v>
      </c>
      <c r="C51" s="3" t="s">
        <v>78</v>
      </c>
      <c r="D51" s="7" t="s">
        <v>79</v>
      </c>
      <c r="E51" s="7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</sheetData>
  <sheetProtection formatCells="0" formatColumns="0" formatRows="0" insertColumns="0" insertRows="0" insertHyperlinks="0" deleteColumns="0" deleteRows="0" sort="0" autoFilter="0" pivotTables="0"/>
  <mergeCells count="6">
    <mergeCell ref="A1:E1"/>
    <mergeCell ref="A2:E3"/>
    <mergeCell ref="A4:A5"/>
    <mergeCell ref="B4:B5"/>
    <mergeCell ref="C4:C5"/>
    <mergeCell ref="D4:E4"/>
  </mergeCells>
  <printOptions/>
  <pageMargins left="0.7" right="0.7" top="0.75" bottom="0.75" header="0.3" footer="0.3"/>
  <pageSetup horizontalDpi="600" verticalDpi="600" orientation="landscape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9"/>
  <sheetViews>
    <sheetView zoomScale="95" zoomScaleNormal="95" zoomScalePageLayoutView="0" workbookViewId="0" topLeftCell="A1">
      <pane ySplit="4110" topLeftCell="A31" activePane="bottomLeft" state="split"/>
      <selection pane="topLeft" activeCell="K51" sqref="K51"/>
      <selection pane="bottomLeft" activeCell="B16" sqref="B16"/>
    </sheetView>
  </sheetViews>
  <sheetFormatPr defaultColWidth="9.140625" defaultRowHeight="15"/>
  <cols>
    <col min="2" max="2" width="103.8515625" style="0" customWidth="1"/>
    <col min="3" max="3" width="14.00390625" style="0" customWidth="1"/>
    <col min="4" max="5" width="12.00390625" style="0" customWidth="1"/>
    <col min="32" max="32" width="13.28125" style="0" customWidth="1"/>
    <col min="34" max="34" width="12.28125" style="0" customWidth="1"/>
    <col min="38" max="38" width="16.28125" style="0" customWidth="1"/>
  </cols>
  <sheetData>
    <row r="1" spans="1:5" ht="49.5" customHeight="1">
      <c r="A1" s="37" t="s">
        <v>186</v>
      </c>
      <c r="B1" s="35"/>
      <c r="C1" s="35"/>
      <c r="D1" s="35"/>
      <c r="E1" s="35"/>
    </row>
    <row r="2" spans="1:5" ht="30" customHeight="1">
      <c r="A2" s="35" t="s">
        <v>0</v>
      </c>
      <c r="B2" s="35"/>
      <c r="C2" s="35"/>
      <c r="D2" s="35"/>
      <c r="E2" s="35"/>
    </row>
    <row r="3" spans="1:5" ht="15">
      <c r="A3" s="35"/>
      <c r="B3" s="35"/>
      <c r="C3" s="35"/>
      <c r="D3" s="35"/>
      <c r="E3" s="35"/>
    </row>
    <row r="4" spans="1:39" ht="50.25" customHeight="1">
      <c r="A4" s="35" t="s">
        <v>1</v>
      </c>
      <c r="B4" s="35" t="s">
        <v>2</v>
      </c>
      <c r="C4" s="35" t="s">
        <v>3</v>
      </c>
      <c r="D4" s="38" t="s">
        <v>187</v>
      </c>
      <c r="E4" s="35"/>
      <c r="F4" s="38" t="s">
        <v>188</v>
      </c>
      <c r="G4" s="34"/>
      <c r="H4" s="39" t="s">
        <v>189</v>
      </c>
      <c r="I4" s="40"/>
      <c r="J4" s="38" t="s">
        <v>190</v>
      </c>
      <c r="K4" s="34"/>
      <c r="L4" s="38" t="s">
        <v>191</v>
      </c>
      <c r="M4" s="34"/>
      <c r="N4" s="38" t="s">
        <v>192</v>
      </c>
      <c r="O4" s="34"/>
      <c r="P4" s="38" t="s">
        <v>193</v>
      </c>
      <c r="Q4" s="34"/>
      <c r="R4" s="38" t="s">
        <v>195</v>
      </c>
      <c r="S4" s="34"/>
      <c r="T4" s="38" t="s">
        <v>196</v>
      </c>
      <c r="U4" s="34"/>
      <c r="V4" s="38" t="s">
        <v>197</v>
      </c>
      <c r="W4" s="34"/>
      <c r="X4" s="38" t="s">
        <v>198</v>
      </c>
      <c r="Y4" s="34"/>
      <c r="Z4" s="38" t="s">
        <v>199</v>
      </c>
      <c r="AA4" s="34"/>
      <c r="AB4" s="38" t="s">
        <v>200</v>
      </c>
      <c r="AC4" s="34"/>
      <c r="AD4" s="38" t="s">
        <v>201</v>
      </c>
      <c r="AE4" s="34"/>
      <c r="AF4" s="38" t="s">
        <v>202</v>
      </c>
      <c r="AG4" s="34"/>
      <c r="AH4" s="42" t="s">
        <v>203</v>
      </c>
      <c r="AI4" s="43"/>
      <c r="AJ4" s="42" t="s">
        <v>204</v>
      </c>
      <c r="AK4" s="44"/>
      <c r="AL4" s="41" t="s">
        <v>194</v>
      </c>
      <c r="AM4" s="32"/>
    </row>
    <row r="5" spans="1:39" ht="56.25">
      <c r="A5" s="36"/>
      <c r="B5" s="36"/>
      <c r="C5" s="36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  <c r="L5" s="8" t="s">
        <v>4</v>
      </c>
      <c r="M5" s="8" t="s">
        <v>5</v>
      </c>
      <c r="N5" s="8" t="s">
        <v>4</v>
      </c>
      <c r="O5" s="8" t="s">
        <v>5</v>
      </c>
      <c r="P5" s="8" t="s">
        <v>4</v>
      </c>
      <c r="Q5" s="8" t="s">
        <v>5</v>
      </c>
      <c r="R5" s="8" t="s">
        <v>4</v>
      </c>
      <c r="S5" s="8" t="s">
        <v>5</v>
      </c>
      <c r="T5" s="8" t="s">
        <v>4</v>
      </c>
      <c r="U5" s="8" t="s">
        <v>5</v>
      </c>
      <c r="V5" s="8" t="s">
        <v>4</v>
      </c>
      <c r="W5" s="8" t="s">
        <v>5</v>
      </c>
      <c r="X5" s="8" t="s">
        <v>4</v>
      </c>
      <c r="Y5" s="8" t="s">
        <v>5</v>
      </c>
      <c r="Z5" s="8" t="s">
        <v>4</v>
      </c>
      <c r="AA5" s="8" t="s">
        <v>5</v>
      </c>
      <c r="AB5" s="8" t="s">
        <v>4</v>
      </c>
      <c r="AC5" s="8" t="s">
        <v>5</v>
      </c>
      <c r="AD5" s="8" t="s">
        <v>4</v>
      </c>
      <c r="AE5" s="8" t="s">
        <v>5</v>
      </c>
      <c r="AF5" s="8" t="s">
        <v>4</v>
      </c>
      <c r="AG5" s="8" t="s">
        <v>5</v>
      </c>
      <c r="AH5" s="8" t="s">
        <v>4</v>
      </c>
      <c r="AI5" s="8" t="s">
        <v>5</v>
      </c>
      <c r="AJ5" s="8" t="s">
        <v>4</v>
      </c>
      <c r="AK5" s="8" t="s">
        <v>5</v>
      </c>
      <c r="AL5" s="11" t="s">
        <v>4</v>
      </c>
      <c r="AM5" s="14" t="s">
        <v>5</v>
      </c>
    </row>
    <row r="6" spans="1:39" ht="18.75">
      <c r="A6" s="4">
        <v>1</v>
      </c>
      <c r="B6" s="2" t="s">
        <v>6</v>
      </c>
      <c r="C6" s="2"/>
      <c r="D6" s="12"/>
      <c r="E6" s="6"/>
      <c r="F6" s="9"/>
      <c r="G6" s="9"/>
      <c r="H6" s="13"/>
      <c r="I6" s="13"/>
      <c r="J6" s="13"/>
      <c r="K6" s="9"/>
      <c r="L6" s="13"/>
      <c r="M6" s="9"/>
      <c r="N6" s="13"/>
      <c r="O6" s="9"/>
      <c r="P6" s="13"/>
      <c r="Q6" s="9"/>
      <c r="R6" s="13"/>
      <c r="S6" s="13"/>
      <c r="T6" s="13"/>
      <c r="U6" s="9"/>
      <c r="V6" s="13"/>
      <c r="W6" s="13"/>
      <c r="X6" s="13"/>
      <c r="Y6" s="13"/>
      <c r="Z6" s="13"/>
      <c r="AA6" s="13"/>
      <c r="AB6" s="13"/>
      <c r="AC6" s="9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ht="37.5">
      <c r="A7" s="18" t="s">
        <v>7</v>
      </c>
      <c r="B7" s="19" t="s">
        <v>8</v>
      </c>
      <c r="C7" s="19" t="s">
        <v>9</v>
      </c>
      <c r="D7" s="20">
        <v>1061</v>
      </c>
      <c r="E7" s="21"/>
      <c r="F7" s="20">
        <v>494</v>
      </c>
      <c r="G7" s="22"/>
      <c r="H7" s="20">
        <v>2110</v>
      </c>
      <c r="I7" s="20"/>
      <c r="J7" s="20">
        <v>487</v>
      </c>
      <c r="K7" s="20"/>
      <c r="L7" s="20">
        <v>655</v>
      </c>
      <c r="M7" s="20"/>
      <c r="N7" s="20">
        <v>1004</v>
      </c>
      <c r="O7" s="20"/>
      <c r="P7" s="20">
        <v>3780</v>
      </c>
      <c r="Q7" s="20"/>
      <c r="R7" s="20">
        <v>718</v>
      </c>
      <c r="S7" s="20"/>
      <c r="T7" s="20">
        <v>674</v>
      </c>
      <c r="U7" s="20"/>
      <c r="V7" s="20">
        <v>720</v>
      </c>
      <c r="W7" s="20"/>
      <c r="X7" s="20">
        <v>822</v>
      </c>
      <c r="Y7" s="20"/>
      <c r="Z7" s="20">
        <v>820</v>
      </c>
      <c r="AA7" s="20"/>
      <c r="AB7" s="20">
        <v>1331</v>
      </c>
      <c r="AC7" s="20"/>
      <c r="AD7" s="20">
        <v>269</v>
      </c>
      <c r="AE7" s="20"/>
      <c r="AF7" s="20">
        <v>3586</v>
      </c>
      <c r="AG7" s="20"/>
      <c r="AH7" s="20">
        <v>12891</v>
      </c>
      <c r="AI7" s="20"/>
      <c r="AJ7" s="20">
        <v>1419</v>
      </c>
      <c r="AK7" s="20"/>
      <c r="AL7" s="20">
        <f>D7+F7+H7+J7+L7+N7+P7+R7+T7+V7+X7+Z7+AB7++AD7+AF7+AH7+AJ7</f>
        <v>32841</v>
      </c>
      <c r="AM7" s="20"/>
    </row>
    <row r="8" spans="1:39" ht="37.5">
      <c r="A8" s="5" t="s">
        <v>10</v>
      </c>
      <c r="B8" s="3" t="s">
        <v>11</v>
      </c>
      <c r="C8" s="3" t="s">
        <v>12</v>
      </c>
      <c r="D8" s="13">
        <v>1061</v>
      </c>
      <c r="E8" s="13">
        <f>D8/$D$7*100</f>
        <v>100</v>
      </c>
      <c r="F8" s="13">
        <v>494</v>
      </c>
      <c r="G8" s="13">
        <f>F8/F7*100</f>
        <v>100</v>
      </c>
      <c r="H8" s="13">
        <v>2110</v>
      </c>
      <c r="I8" s="13">
        <f>H8/H7*100</f>
        <v>100</v>
      </c>
      <c r="J8" s="13">
        <v>487</v>
      </c>
      <c r="K8" s="13">
        <f>J8/J7*100</f>
        <v>100</v>
      </c>
      <c r="L8" s="13">
        <v>655</v>
      </c>
      <c r="M8" s="13">
        <f>L8/L7*100</f>
        <v>100</v>
      </c>
      <c r="N8" s="13">
        <v>1004</v>
      </c>
      <c r="O8" s="13">
        <f>N8/N7*100</f>
        <v>100</v>
      </c>
      <c r="P8" s="13">
        <v>3780</v>
      </c>
      <c r="Q8" s="13">
        <f>P8/P7*100</f>
        <v>100</v>
      </c>
      <c r="R8" s="13">
        <v>718</v>
      </c>
      <c r="S8" s="13"/>
      <c r="T8" s="13">
        <v>674</v>
      </c>
      <c r="U8" s="13">
        <f>T8/T7*100</f>
        <v>100</v>
      </c>
      <c r="V8" s="13">
        <v>720</v>
      </c>
      <c r="W8" s="13">
        <f>V8/V7*100</f>
        <v>100</v>
      </c>
      <c r="X8" s="13">
        <v>822</v>
      </c>
      <c r="Y8" s="13">
        <f>X8/X7*100</f>
        <v>100</v>
      </c>
      <c r="Z8" s="13">
        <v>820</v>
      </c>
      <c r="AA8" s="13">
        <f>Z8/Z7*100</f>
        <v>100</v>
      </c>
      <c r="AB8" s="13">
        <v>1331</v>
      </c>
      <c r="AC8" s="13">
        <f>AB8/AB7*100</f>
        <v>100</v>
      </c>
      <c r="AD8" s="13">
        <v>269</v>
      </c>
      <c r="AE8" s="13">
        <f>AD8/AD7*100</f>
        <v>100</v>
      </c>
      <c r="AF8" s="13">
        <v>3586</v>
      </c>
      <c r="AG8" s="13">
        <f>AF8/AF7*100</f>
        <v>100</v>
      </c>
      <c r="AH8" s="13">
        <v>12834</v>
      </c>
      <c r="AI8" s="13">
        <f>AH8/AH7*100</f>
        <v>99.55783104491506</v>
      </c>
      <c r="AJ8" s="13">
        <v>1419</v>
      </c>
      <c r="AK8" s="13">
        <f>AJ8/AJ7*100</f>
        <v>100</v>
      </c>
      <c r="AL8" s="13">
        <f aca="true" t="shared" si="0" ref="AL8:AL37">D8+F8+H8+J8+L8+N8+P8+R8+T8+V8+X8+Z8+AB8++AD8+AF8+AH8+AJ8</f>
        <v>32784</v>
      </c>
      <c r="AM8" s="13">
        <f>AL8/AL7*100</f>
        <v>99.82643646661185</v>
      </c>
    </row>
    <row r="9" spans="1:39" ht="37.5">
      <c r="A9" s="5" t="s">
        <v>13</v>
      </c>
      <c r="B9" s="3" t="s">
        <v>14</v>
      </c>
      <c r="C9" s="3" t="s">
        <v>12</v>
      </c>
      <c r="D9" s="13">
        <v>0</v>
      </c>
      <c r="E9" s="13">
        <f>D9/$D$7*100</f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1</v>
      </c>
      <c r="AI9" s="13">
        <f>AH9/AH7*100</f>
        <v>0.007757350089209526</v>
      </c>
      <c r="AJ9" s="13">
        <v>0</v>
      </c>
      <c r="AK9" s="13">
        <v>0</v>
      </c>
      <c r="AL9" s="13">
        <f t="shared" si="0"/>
        <v>1</v>
      </c>
      <c r="AM9" s="17">
        <f>AL9/AL7*100</f>
        <v>0.003044974269967419</v>
      </c>
    </row>
    <row r="10" spans="1:39" ht="37.5">
      <c r="A10" s="5" t="s">
        <v>15</v>
      </c>
      <c r="B10" s="3" t="s">
        <v>16</v>
      </c>
      <c r="C10" s="3" t="s">
        <v>12</v>
      </c>
      <c r="D10" s="13">
        <v>0</v>
      </c>
      <c r="E10" s="13">
        <f>D10/$D$7*100</f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f t="shared" si="0"/>
        <v>0</v>
      </c>
      <c r="AM10" s="13">
        <v>0</v>
      </c>
    </row>
    <row r="11" spans="1:39" ht="37.5">
      <c r="A11" s="5" t="s">
        <v>17</v>
      </c>
      <c r="B11" s="3" t="s">
        <v>18</v>
      </c>
      <c r="C11" s="3" t="s">
        <v>12</v>
      </c>
      <c r="D11" s="13">
        <v>0</v>
      </c>
      <c r="E11" s="13">
        <f>D11/$D$7*100</f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56</v>
      </c>
      <c r="AI11" s="13">
        <f>AH11/AH7*100</f>
        <v>0.43441160499573345</v>
      </c>
      <c r="AJ11" s="13">
        <v>0</v>
      </c>
      <c r="AK11" s="13">
        <v>0</v>
      </c>
      <c r="AL11" s="13">
        <f t="shared" si="0"/>
        <v>56</v>
      </c>
      <c r="AM11" s="13">
        <f>AL11/AL7*100</f>
        <v>0.17051855911817546</v>
      </c>
    </row>
    <row r="12" spans="1:39" ht="37.5">
      <c r="A12" s="18" t="s">
        <v>19</v>
      </c>
      <c r="B12" s="19" t="s">
        <v>20</v>
      </c>
      <c r="C12" s="19" t="s">
        <v>12</v>
      </c>
      <c r="D12" s="20">
        <v>279</v>
      </c>
      <c r="E12" s="20">
        <f>$D$12/D8*100</f>
        <v>26.295947219604148</v>
      </c>
      <c r="F12" s="20">
        <v>48</v>
      </c>
      <c r="G12" s="20">
        <f>F12/F7*100</f>
        <v>9.7165991902834</v>
      </c>
      <c r="H12" s="20">
        <v>353</v>
      </c>
      <c r="I12" s="16">
        <f>H12/H8*100</f>
        <v>16.729857819905213</v>
      </c>
      <c r="J12" s="20">
        <v>155</v>
      </c>
      <c r="K12" s="20">
        <f>J12/J7*100</f>
        <v>31.82751540041068</v>
      </c>
      <c r="L12" s="20">
        <v>121</v>
      </c>
      <c r="M12" s="20">
        <f>L12/L7*100</f>
        <v>18.473282442748094</v>
      </c>
      <c r="N12" s="20">
        <v>163</v>
      </c>
      <c r="O12" s="20">
        <f>N12/N7*100</f>
        <v>16.235059760956176</v>
      </c>
      <c r="P12" s="16">
        <v>635</v>
      </c>
      <c r="Q12" s="20">
        <f>P12/P7*100</f>
        <v>16.7989417989418</v>
      </c>
      <c r="R12" s="20">
        <v>105</v>
      </c>
      <c r="S12" s="20">
        <f>R12/R8*100</f>
        <v>14.623955431754876</v>
      </c>
      <c r="T12" s="20">
        <v>144</v>
      </c>
      <c r="U12" s="20">
        <f>T12/T7*100</f>
        <v>21.364985163204746</v>
      </c>
      <c r="V12" s="20">
        <v>74</v>
      </c>
      <c r="W12" s="20">
        <f>V12/V7*100</f>
        <v>10.277777777777777</v>
      </c>
      <c r="X12" s="16">
        <v>164</v>
      </c>
      <c r="Y12" s="20">
        <f>X12/X7*100</f>
        <v>19.951338199513383</v>
      </c>
      <c r="Z12" s="20">
        <v>121</v>
      </c>
      <c r="AA12" s="20">
        <f>Z12/Z7*100</f>
        <v>14.75609756097561</v>
      </c>
      <c r="AB12" s="16">
        <v>280</v>
      </c>
      <c r="AC12" s="20">
        <f>AB12/AB7*100</f>
        <v>21.036814425244177</v>
      </c>
      <c r="AD12" s="20">
        <v>55</v>
      </c>
      <c r="AE12" s="20">
        <f>AD12/AD7*100</f>
        <v>20.44609665427509</v>
      </c>
      <c r="AF12" s="16">
        <v>880</v>
      </c>
      <c r="AG12" s="20">
        <f>AF12/AF7*100</f>
        <v>24.539877300613497</v>
      </c>
      <c r="AH12" s="16">
        <v>645</v>
      </c>
      <c r="AI12" s="20">
        <f>AH12/AH7*100</f>
        <v>5.003490807540144</v>
      </c>
      <c r="AJ12" s="20">
        <v>194</v>
      </c>
      <c r="AK12" s="20">
        <f>AJ12/AJ7*100</f>
        <v>13.671599718111347</v>
      </c>
      <c r="AL12" s="20">
        <f t="shared" si="0"/>
        <v>4416</v>
      </c>
      <c r="AM12" s="20">
        <f>AL12/AL7*100</f>
        <v>13.44660637617612</v>
      </c>
    </row>
    <row r="13" spans="1:39" ht="18.75">
      <c r="A13" s="18" t="s">
        <v>21</v>
      </c>
      <c r="B13" s="19" t="s">
        <v>22</v>
      </c>
      <c r="C13" s="19" t="s">
        <v>9</v>
      </c>
      <c r="D13" s="20">
        <v>782</v>
      </c>
      <c r="E13" s="20">
        <f>D13/D8*100</f>
        <v>73.70405278039586</v>
      </c>
      <c r="F13" s="20">
        <v>446</v>
      </c>
      <c r="G13" s="20">
        <f>F13/F7*100</f>
        <v>90.2834008097166</v>
      </c>
      <c r="H13" s="20">
        <v>1757</v>
      </c>
      <c r="I13" s="16">
        <f>H13/H7*100</f>
        <v>83.27014218009478</v>
      </c>
      <c r="J13" s="20">
        <v>332</v>
      </c>
      <c r="K13" s="20">
        <f>J13/J7*100</f>
        <v>68.17248459958932</v>
      </c>
      <c r="L13" s="20">
        <v>534</v>
      </c>
      <c r="M13" s="20">
        <f>L13/L7*100</f>
        <v>81.5267175572519</v>
      </c>
      <c r="N13" s="20">
        <v>841</v>
      </c>
      <c r="O13" s="20">
        <f>N13/N7*100</f>
        <v>83.76494023904382</v>
      </c>
      <c r="P13" s="16">
        <v>3150</v>
      </c>
      <c r="Q13" s="20">
        <f>P13/P7*100</f>
        <v>83.33333333333334</v>
      </c>
      <c r="R13" s="20">
        <v>613</v>
      </c>
      <c r="S13" s="20">
        <f>R13/R8*100</f>
        <v>85.37604456824512</v>
      </c>
      <c r="T13" s="20">
        <v>530</v>
      </c>
      <c r="U13" s="20">
        <f>T13/T7*100</f>
        <v>78.63501483679525</v>
      </c>
      <c r="V13" s="20">
        <v>646</v>
      </c>
      <c r="W13" s="20">
        <f>V13/V7*100</f>
        <v>89.72222222222223</v>
      </c>
      <c r="X13" s="16">
        <v>678</v>
      </c>
      <c r="Y13" s="20">
        <f>X13/X7*100</f>
        <v>82.48175182481752</v>
      </c>
      <c r="Z13" s="20">
        <v>699</v>
      </c>
      <c r="AA13" s="20">
        <f>Z13/Z7*100</f>
        <v>85.24390243902438</v>
      </c>
      <c r="AB13" s="16">
        <v>1259</v>
      </c>
      <c r="AC13" s="20">
        <f>AB13/AB7*100</f>
        <v>94.59053343350864</v>
      </c>
      <c r="AD13" s="20">
        <v>214</v>
      </c>
      <c r="AE13" s="20">
        <f>AD13/AD7*100</f>
        <v>79.5539033457249</v>
      </c>
      <c r="AF13" s="16">
        <v>2716</v>
      </c>
      <c r="AG13" s="20">
        <f>AF13/AF7*100</f>
        <v>75.73898494143893</v>
      </c>
      <c r="AH13" s="16">
        <v>12469</v>
      </c>
      <c r="AI13" s="20">
        <f>AH13/AH7*100</f>
        <v>96.72639826235357</v>
      </c>
      <c r="AJ13" s="20">
        <v>1255</v>
      </c>
      <c r="AK13" s="20">
        <f>AJ13/AJ7*100</f>
        <v>88.44256518675124</v>
      </c>
      <c r="AL13" s="20">
        <f t="shared" si="0"/>
        <v>28921</v>
      </c>
      <c r="AM13" s="20">
        <f>AL13/AL7*100</f>
        <v>88.06370086172772</v>
      </c>
    </row>
    <row r="14" spans="1:39" ht="37.5">
      <c r="A14" s="18" t="s">
        <v>23</v>
      </c>
      <c r="B14" s="19" t="s">
        <v>24</v>
      </c>
      <c r="C14" s="19" t="s">
        <v>12</v>
      </c>
      <c r="D14" s="20">
        <v>869</v>
      </c>
      <c r="E14" s="20">
        <f>D14/D8*100</f>
        <v>81.9038642789821</v>
      </c>
      <c r="F14" s="20">
        <v>233</v>
      </c>
      <c r="G14" s="20">
        <f>F14/F7*100</f>
        <v>47.16599190283401</v>
      </c>
      <c r="H14" s="20">
        <v>1595</v>
      </c>
      <c r="I14" s="20">
        <f>H14/H7*100</f>
        <v>75.59241706161137</v>
      </c>
      <c r="J14" s="20">
        <v>447</v>
      </c>
      <c r="K14" s="20">
        <f>J14/J7*100</f>
        <v>91.78644763860369</v>
      </c>
      <c r="L14" s="20">
        <v>366</v>
      </c>
      <c r="M14" s="20">
        <f>L14/L7*100</f>
        <v>55.87786259541985</v>
      </c>
      <c r="N14" s="20">
        <v>598</v>
      </c>
      <c r="O14" s="20">
        <f>N14/N7*100</f>
        <v>59.561752988047814</v>
      </c>
      <c r="P14" s="13">
        <v>2667</v>
      </c>
      <c r="Q14" s="20">
        <f>P14/P7*100</f>
        <v>70.55555555555556</v>
      </c>
      <c r="R14" s="20">
        <v>435</v>
      </c>
      <c r="S14" s="20">
        <f>R14/R8*100</f>
        <v>60.58495821727019</v>
      </c>
      <c r="T14" s="20">
        <v>674</v>
      </c>
      <c r="U14" s="20">
        <f>T14/T7*100</f>
        <v>100</v>
      </c>
      <c r="V14" s="20">
        <v>720</v>
      </c>
      <c r="W14" s="20">
        <f>V14/V7*100</f>
        <v>100</v>
      </c>
      <c r="X14" s="13">
        <v>790</v>
      </c>
      <c r="Y14" s="20">
        <f>X14/X7*100</f>
        <v>96.10705596107056</v>
      </c>
      <c r="Z14" s="20">
        <v>789</v>
      </c>
      <c r="AA14" s="20">
        <f>Z14/Z7*100</f>
        <v>96.21951219512195</v>
      </c>
      <c r="AB14" s="13">
        <v>1257</v>
      </c>
      <c r="AC14" s="20">
        <f>AB14/AB7*100</f>
        <v>94.44027047332833</v>
      </c>
      <c r="AD14" s="20">
        <v>269</v>
      </c>
      <c r="AE14" s="20">
        <f>AD14/AD7*100</f>
        <v>100</v>
      </c>
      <c r="AF14" s="13">
        <v>3178</v>
      </c>
      <c r="AG14" s="20">
        <f>AF14/AF7*100</f>
        <v>88.62242052426102</v>
      </c>
      <c r="AH14" s="13">
        <v>12067</v>
      </c>
      <c r="AI14" s="20">
        <f>AH14/AH7*100</f>
        <v>93.60794352649135</v>
      </c>
      <c r="AJ14" s="20">
        <v>338</v>
      </c>
      <c r="AK14" s="20">
        <f>AJ14/AJ7*100</f>
        <v>23.819591261451727</v>
      </c>
      <c r="AL14" s="20">
        <f t="shared" si="0"/>
        <v>27292</v>
      </c>
      <c r="AM14" s="20">
        <f>AL14/AL7*100</f>
        <v>83.1034377759508</v>
      </c>
    </row>
    <row r="15" spans="1:39" ht="37.5">
      <c r="A15" s="5" t="s">
        <v>25</v>
      </c>
      <c r="B15" s="3" t="s">
        <v>11</v>
      </c>
      <c r="C15" s="3" t="s">
        <v>12</v>
      </c>
      <c r="D15" s="13">
        <v>869</v>
      </c>
      <c r="E15" s="13">
        <f>D15/D14*100</f>
        <v>100</v>
      </c>
      <c r="F15" s="13">
        <v>233</v>
      </c>
      <c r="G15" s="13">
        <f>F15/F14*100</f>
        <v>100</v>
      </c>
      <c r="H15" s="13">
        <v>1595</v>
      </c>
      <c r="I15" s="13">
        <f>H15/H14*100</f>
        <v>100</v>
      </c>
      <c r="J15" s="13">
        <v>447</v>
      </c>
      <c r="K15" s="13">
        <f>J15/J7*100</f>
        <v>91.78644763860369</v>
      </c>
      <c r="L15" s="13">
        <v>366</v>
      </c>
      <c r="M15" s="13">
        <f>L15/L7*100</f>
        <v>55.87786259541985</v>
      </c>
      <c r="N15" s="13">
        <v>598</v>
      </c>
      <c r="O15" s="13">
        <f>N15/N14*100</f>
        <v>100</v>
      </c>
      <c r="P15" s="13">
        <v>2667</v>
      </c>
      <c r="Q15" s="13">
        <f>P15/P7*100</f>
        <v>70.55555555555556</v>
      </c>
      <c r="R15" s="13">
        <v>435</v>
      </c>
      <c r="S15" s="13">
        <f>R15/R14*100</f>
        <v>100</v>
      </c>
      <c r="T15" s="13">
        <v>674</v>
      </c>
      <c r="U15" s="13">
        <f>T15/T14*100</f>
        <v>100</v>
      </c>
      <c r="V15" s="13">
        <v>519</v>
      </c>
      <c r="W15" s="13">
        <f>V15/V7*100</f>
        <v>72.08333333333333</v>
      </c>
      <c r="X15" s="13">
        <v>790</v>
      </c>
      <c r="Y15" s="13">
        <f>X15/X14*100</f>
        <v>100</v>
      </c>
      <c r="Z15" s="13">
        <v>789</v>
      </c>
      <c r="AA15" s="13">
        <f>Z15/Z14*100</f>
        <v>100</v>
      </c>
      <c r="AB15" s="13">
        <v>1049</v>
      </c>
      <c r="AC15" s="13">
        <f>AB15/AB14*100</f>
        <v>83.45266507557677</v>
      </c>
      <c r="AD15" s="13">
        <v>269</v>
      </c>
      <c r="AE15" s="13">
        <f>AD15/AD14*100</f>
        <v>100</v>
      </c>
      <c r="AF15" s="13">
        <v>3038</v>
      </c>
      <c r="AG15" s="13">
        <f>AF15/AF14*100</f>
        <v>95.59471365638767</v>
      </c>
      <c r="AH15" s="13">
        <v>11467</v>
      </c>
      <c r="AI15" s="13">
        <f>AH15/AH14*100</f>
        <v>95.02776166404243</v>
      </c>
      <c r="AJ15" s="13">
        <v>338</v>
      </c>
      <c r="AK15" s="13">
        <f>AJ15/AJ14*100</f>
        <v>100</v>
      </c>
      <c r="AL15" s="13">
        <f t="shared" si="0"/>
        <v>26143</v>
      </c>
      <c r="AM15" s="13">
        <f>AL15/AL14*100</f>
        <v>95.78997508427378</v>
      </c>
    </row>
    <row r="16" spans="1:39" ht="37.5">
      <c r="A16" s="5" t="s">
        <v>26</v>
      </c>
      <c r="B16" s="3" t="s">
        <v>27</v>
      </c>
      <c r="C16" s="3" t="s">
        <v>12</v>
      </c>
      <c r="D16" s="13">
        <v>0</v>
      </c>
      <c r="E16" s="13"/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29</v>
      </c>
      <c r="AG16" s="13">
        <f>AF16/AF14*100</f>
        <v>0.9125235997482695</v>
      </c>
      <c r="AH16" s="13">
        <v>56</v>
      </c>
      <c r="AI16" s="13">
        <f>AH16/AH14*100</f>
        <v>0.4640755780227065</v>
      </c>
      <c r="AJ16" s="13">
        <v>0</v>
      </c>
      <c r="AK16" s="13">
        <v>0</v>
      </c>
      <c r="AL16" s="13">
        <f t="shared" si="0"/>
        <v>85</v>
      </c>
      <c r="AM16" s="13">
        <f>AL16/AL14*100</f>
        <v>0.31144657775172213</v>
      </c>
    </row>
    <row r="17" spans="1:39" ht="37.5">
      <c r="A17" s="5" t="s">
        <v>28</v>
      </c>
      <c r="B17" s="3" t="s">
        <v>29</v>
      </c>
      <c r="C17" s="3" t="s">
        <v>12</v>
      </c>
      <c r="D17" s="13">
        <v>0</v>
      </c>
      <c r="E17" s="13"/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56</v>
      </c>
      <c r="AI17" s="13">
        <f>AH17/AH14*100</f>
        <v>0.4640755780227065</v>
      </c>
      <c r="AJ17" s="13">
        <v>0</v>
      </c>
      <c r="AK17" s="13">
        <v>0</v>
      </c>
      <c r="AL17" s="13">
        <f t="shared" si="0"/>
        <v>56</v>
      </c>
      <c r="AM17" s="13">
        <f>AL17/AL7*100</f>
        <v>0.17051855911817546</v>
      </c>
    </row>
    <row r="18" spans="1:39" ht="39.75" customHeight="1">
      <c r="A18" s="18" t="s">
        <v>30</v>
      </c>
      <c r="B18" s="19" t="s">
        <v>31</v>
      </c>
      <c r="C18" s="19" t="s">
        <v>12</v>
      </c>
      <c r="D18" s="20">
        <v>114</v>
      </c>
      <c r="E18" s="20">
        <f>D18/D7*100</f>
        <v>10.744580584354383</v>
      </c>
      <c r="F18" s="20">
        <v>3</v>
      </c>
      <c r="G18" s="20">
        <f>F18/F7*100</f>
        <v>0.6072874493927125</v>
      </c>
      <c r="H18" s="20">
        <v>214</v>
      </c>
      <c r="I18" s="20">
        <f>H18/H7*100</f>
        <v>10.142180094786731</v>
      </c>
      <c r="J18" s="20">
        <v>35</v>
      </c>
      <c r="K18" s="20">
        <f>J18/J7*100</f>
        <v>7.186858316221765</v>
      </c>
      <c r="L18" s="20">
        <v>3</v>
      </c>
      <c r="M18" s="20">
        <f>L18/L7*100</f>
        <v>0.45801526717557256</v>
      </c>
      <c r="N18" s="20">
        <v>59</v>
      </c>
      <c r="O18" s="20">
        <f>N18/N7*100</f>
        <v>5.876494023904383</v>
      </c>
      <c r="P18" s="20">
        <v>221</v>
      </c>
      <c r="Q18" s="20">
        <f>P18/P7*100</f>
        <v>5.8465608465608465</v>
      </c>
      <c r="R18" s="20">
        <v>40</v>
      </c>
      <c r="S18" s="20">
        <f>R18/R8*100</f>
        <v>5.571030640668524</v>
      </c>
      <c r="T18" s="20">
        <v>2</v>
      </c>
      <c r="U18" s="20">
        <f>T18/T7*100</f>
        <v>0.2967359050445104</v>
      </c>
      <c r="V18" s="20">
        <v>2</v>
      </c>
      <c r="W18" s="20">
        <f>V18/V7*100</f>
        <v>0.2777777777777778</v>
      </c>
      <c r="X18" s="20">
        <v>7</v>
      </c>
      <c r="Y18" s="20">
        <f>X18/X7*100</f>
        <v>0.851581508515815</v>
      </c>
      <c r="Z18" s="20">
        <v>0</v>
      </c>
      <c r="AA18" s="20">
        <v>0</v>
      </c>
      <c r="AB18" s="20">
        <v>126</v>
      </c>
      <c r="AC18" s="20">
        <f>AB18/AB7*100</f>
        <v>9.466566491359881</v>
      </c>
      <c r="AD18" s="20">
        <v>2</v>
      </c>
      <c r="AE18" s="20">
        <f>AD18/AD7*100</f>
        <v>0.7434944237918215</v>
      </c>
      <c r="AF18" s="20">
        <v>413</v>
      </c>
      <c r="AG18" s="20">
        <f>AF18/AF7*100</f>
        <v>11.517010596765198</v>
      </c>
      <c r="AH18" s="20">
        <v>861</v>
      </c>
      <c r="AI18" s="20">
        <f>AH18/AH7*100</f>
        <v>6.679078426809403</v>
      </c>
      <c r="AJ18" s="20">
        <v>18</v>
      </c>
      <c r="AK18" s="20">
        <f>AJ18/AJ7*100</f>
        <v>1.2684989429175475</v>
      </c>
      <c r="AL18" s="20">
        <f t="shared" si="0"/>
        <v>2120</v>
      </c>
      <c r="AM18" s="20">
        <f>AL18/AL7*100</f>
        <v>6.455345452330928</v>
      </c>
    </row>
    <row r="19" spans="1:39" ht="37.5">
      <c r="A19" s="5" t="s">
        <v>32</v>
      </c>
      <c r="B19" s="3" t="s">
        <v>33</v>
      </c>
      <c r="C19" s="3" t="s">
        <v>12</v>
      </c>
      <c r="D19" s="13">
        <v>7</v>
      </c>
      <c r="E19" s="13">
        <f>D19/D18*100</f>
        <v>6.140350877192982</v>
      </c>
      <c r="F19" s="13">
        <v>2</v>
      </c>
      <c r="G19" s="13">
        <f>F19/F18*100</f>
        <v>66.66666666666666</v>
      </c>
      <c r="H19" s="13">
        <v>177</v>
      </c>
      <c r="I19" s="15">
        <f>H19/H18*100</f>
        <v>82.71028037383178</v>
      </c>
      <c r="J19" s="13">
        <v>12</v>
      </c>
      <c r="K19" s="13">
        <f>J19/J18*100</f>
        <v>34.285714285714285</v>
      </c>
      <c r="L19" s="13">
        <v>3</v>
      </c>
      <c r="M19" s="13">
        <f>L19/L18*100</f>
        <v>100</v>
      </c>
      <c r="N19" s="13">
        <v>23</v>
      </c>
      <c r="O19" s="13">
        <f>N19/N18*100</f>
        <v>38.983050847457626</v>
      </c>
      <c r="P19" s="13">
        <v>74</v>
      </c>
      <c r="Q19" s="13">
        <f>P19/P18*100</f>
        <v>33.4841628959276</v>
      </c>
      <c r="R19" s="13">
        <v>40</v>
      </c>
      <c r="S19" s="13">
        <f>R19/R18*100</f>
        <v>100</v>
      </c>
      <c r="T19" s="13">
        <v>2</v>
      </c>
      <c r="U19" s="13">
        <v>100</v>
      </c>
      <c r="V19" s="13">
        <v>0</v>
      </c>
      <c r="W19" s="13"/>
      <c r="X19" s="13">
        <v>1</v>
      </c>
      <c r="Y19" s="13">
        <f>X19/X18*100</f>
        <v>14.285714285714285</v>
      </c>
      <c r="Z19" s="13">
        <v>0</v>
      </c>
      <c r="AA19" s="13">
        <v>0</v>
      </c>
      <c r="AB19" s="13">
        <v>39</v>
      </c>
      <c r="AC19" s="13">
        <f>AB19/AB18*100</f>
        <v>30.952380952380953</v>
      </c>
      <c r="AD19" s="13">
        <v>0</v>
      </c>
      <c r="AE19" s="13">
        <v>0</v>
      </c>
      <c r="AF19" s="13">
        <v>307</v>
      </c>
      <c r="AG19" s="13">
        <f>AF19/AF18*100</f>
        <v>74.33414043583535</v>
      </c>
      <c r="AH19" s="13">
        <v>668</v>
      </c>
      <c r="AI19" s="13">
        <f>AH19/AH18*100</f>
        <v>77.5842044134727</v>
      </c>
      <c r="AJ19" s="13">
        <v>12</v>
      </c>
      <c r="AK19" s="13">
        <f>AJ19/AJ18*100</f>
        <v>66.66666666666666</v>
      </c>
      <c r="AL19" s="13">
        <f t="shared" si="0"/>
        <v>1367</v>
      </c>
      <c r="AM19" s="13">
        <f>AL19/AL18*100</f>
        <v>64.4811320754717</v>
      </c>
    </row>
    <row r="20" spans="1:39" ht="37.5">
      <c r="A20" s="5" t="s">
        <v>34</v>
      </c>
      <c r="B20" s="3" t="s">
        <v>35</v>
      </c>
      <c r="C20" s="3" t="s">
        <v>12</v>
      </c>
      <c r="D20" s="13">
        <v>85</v>
      </c>
      <c r="E20" s="13">
        <f>D20/D18*100</f>
        <v>74.56140350877193</v>
      </c>
      <c r="F20" s="13">
        <v>1</v>
      </c>
      <c r="G20" s="13">
        <f>F20/F18*100</f>
        <v>33.33333333333333</v>
      </c>
      <c r="H20" s="13">
        <v>91</v>
      </c>
      <c r="I20" s="15">
        <f>H20/H18*100</f>
        <v>42.523364485981304</v>
      </c>
      <c r="J20" s="13">
        <v>35</v>
      </c>
      <c r="K20" s="13">
        <f>J20/J18*100</f>
        <v>100</v>
      </c>
      <c r="L20" s="13">
        <v>3</v>
      </c>
      <c r="M20" s="13">
        <f>L20/L18*100</f>
        <v>100</v>
      </c>
      <c r="N20" s="13">
        <v>51</v>
      </c>
      <c r="O20" s="13">
        <f>N20/N18*100</f>
        <v>86.4406779661017</v>
      </c>
      <c r="P20" s="13">
        <v>221</v>
      </c>
      <c r="Q20" s="13">
        <f>P20/P18*100</f>
        <v>100</v>
      </c>
      <c r="R20" s="13">
        <v>37</v>
      </c>
      <c r="S20" s="13">
        <f>R20/R18*100</f>
        <v>92.5</v>
      </c>
      <c r="T20" s="13">
        <v>2</v>
      </c>
      <c r="U20" s="13">
        <v>100</v>
      </c>
      <c r="V20" s="13">
        <v>1</v>
      </c>
      <c r="W20" s="13">
        <f>V20/V18*100</f>
        <v>50</v>
      </c>
      <c r="X20" s="13">
        <v>6</v>
      </c>
      <c r="Y20" s="13">
        <f>X20/X18*100</f>
        <v>85.71428571428571</v>
      </c>
      <c r="Z20" s="13">
        <v>0</v>
      </c>
      <c r="AA20" s="13">
        <v>0</v>
      </c>
      <c r="AB20" s="13">
        <v>77</v>
      </c>
      <c r="AC20" s="13">
        <f>AB20/AB18*100</f>
        <v>61.111111111111114</v>
      </c>
      <c r="AD20" s="13">
        <v>2</v>
      </c>
      <c r="AE20" s="13">
        <f>AD20/AD7*100</f>
        <v>0.7434944237918215</v>
      </c>
      <c r="AF20" s="13">
        <v>357</v>
      </c>
      <c r="AG20" s="13">
        <f>AF20/AF18*100</f>
        <v>86.4406779661017</v>
      </c>
      <c r="AH20" s="13">
        <v>682</v>
      </c>
      <c r="AI20" s="13">
        <f>AH20/AH18*100</f>
        <v>79.2102206736353</v>
      </c>
      <c r="AJ20" s="13">
        <v>15</v>
      </c>
      <c r="AK20" s="13">
        <f>AJ20/AJ18*100</f>
        <v>83.33333333333334</v>
      </c>
      <c r="AL20" s="13">
        <f t="shared" si="0"/>
        <v>1666</v>
      </c>
      <c r="AM20" s="13">
        <f>AL20/AL18*100</f>
        <v>78.58490566037736</v>
      </c>
    </row>
    <row r="21" spans="1:39" ht="37.5">
      <c r="A21" s="5" t="s">
        <v>36</v>
      </c>
      <c r="B21" s="3" t="s">
        <v>37</v>
      </c>
      <c r="C21" s="3" t="s">
        <v>12</v>
      </c>
      <c r="D21" s="13">
        <v>0</v>
      </c>
      <c r="E21" s="7"/>
      <c r="F21" s="13">
        <v>0</v>
      </c>
      <c r="G21" s="13">
        <v>0</v>
      </c>
      <c r="H21" s="13">
        <v>56</v>
      </c>
      <c r="I21" s="13">
        <f>H21/H18*100</f>
        <v>26.168224299065418</v>
      </c>
      <c r="J21" s="13">
        <v>35</v>
      </c>
      <c r="K21" s="13">
        <f>J21/J18*100</f>
        <v>100</v>
      </c>
      <c r="L21" s="13">
        <v>0</v>
      </c>
      <c r="M21" s="13">
        <v>0</v>
      </c>
      <c r="N21" s="13">
        <v>5</v>
      </c>
      <c r="O21" s="13">
        <f>N21/N18*100</f>
        <v>8.47457627118644</v>
      </c>
      <c r="P21" s="13">
        <v>218</v>
      </c>
      <c r="Q21" s="13">
        <f>P21/P18*100</f>
        <v>98.64253393665159</v>
      </c>
      <c r="R21" s="13">
        <v>21</v>
      </c>
      <c r="S21" s="13">
        <f>R21/R18*100</f>
        <v>52.5</v>
      </c>
      <c r="T21" s="13">
        <v>2</v>
      </c>
      <c r="U21" s="13">
        <v>100</v>
      </c>
      <c r="V21" s="13">
        <v>2</v>
      </c>
      <c r="W21" s="13">
        <f>V21/V18*100</f>
        <v>100</v>
      </c>
      <c r="X21" s="13">
        <v>6</v>
      </c>
      <c r="Y21" s="13">
        <f>X21/X18*100</f>
        <v>85.71428571428571</v>
      </c>
      <c r="Z21" s="13">
        <v>0</v>
      </c>
      <c r="AA21" s="13">
        <v>0</v>
      </c>
      <c r="AB21" s="13">
        <v>49</v>
      </c>
      <c r="AC21" s="13">
        <f>AB21/AB18*100</f>
        <v>38.88888888888889</v>
      </c>
      <c r="AD21" s="13">
        <v>2</v>
      </c>
      <c r="AE21" s="13">
        <f>AD21/AD7*100</f>
        <v>0.7434944237918215</v>
      </c>
      <c r="AF21" s="13">
        <v>297</v>
      </c>
      <c r="AG21" s="13">
        <f>AF21/AF18*100</f>
        <v>71.91283292978208</v>
      </c>
      <c r="AH21" s="13">
        <v>726</v>
      </c>
      <c r="AI21" s="13">
        <f>AH21/AH18*100</f>
        <v>84.3205574912892</v>
      </c>
      <c r="AJ21" s="13">
        <v>10</v>
      </c>
      <c r="AK21" s="13">
        <f>AJ21/AJ18*100</f>
        <v>55.55555555555556</v>
      </c>
      <c r="AL21" s="13">
        <f t="shared" si="0"/>
        <v>1429</v>
      </c>
      <c r="AM21" s="13">
        <f>AL21/AL18*100</f>
        <v>67.40566037735849</v>
      </c>
    </row>
    <row r="22" spans="1:39" ht="40.5" customHeight="1">
      <c r="A22" s="5" t="s">
        <v>38</v>
      </c>
      <c r="B22" s="3" t="s">
        <v>39</v>
      </c>
      <c r="C22" s="3" t="s">
        <v>40</v>
      </c>
      <c r="D22" s="13">
        <v>7.69</v>
      </c>
      <c r="E22" s="7"/>
      <c r="F22" s="13">
        <f>93.63/9</f>
        <v>10.403333333333332</v>
      </c>
      <c r="G22" s="10"/>
      <c r="H22" s="13">
        <f>105/16</f>
        <v>6.5625</v>
      </c>
      <c r="I22" s="13"/>
      <c r="J22" s="13">
        <f>104.2/8</f>
        <v>13.025</v>
      </c>
      <c r="K22" s="13"/>
      <c r="L22" s="13">
        <v>39.94</v>
      </c>
      <c r="M22" s="13"/>
      <c r="N22" s="13">
        <f>418.01/19</f>
        <v>22.00052631578947</v>
      </c>
      <c r="O22" s="13"/>
      <c r="P22" s="13">
        <f>177.15/22</f>
        <v>8.052272727272728</v>
      </c>
      <c r="Q22" s="13"/>
      <c r="R22" s="13">
        <f>98.34/6</f>
        <v>16.39</v>
      </c>
      <c r="S22" s="13"/>
      <c r="T22" s="13">
        <f>800.2/11</f>
        <v>72.74545454545455</v>
      </c>
      <c r="U22" s="13"/>
      <c r="V22" s="13">
        <f>92.3/9</f>
        <v>10.255555555555555</v>
      </c>
      <c r="W22" s="13"/>
      <c r="X22" s="13">
        <f>149.8/13</f>
        <v>11.523076923076925</v>
      </c>
      <c r="Y22" s="13"/>
      <c r="Z22" s="13">
        <f>83/8</f>
        <v>10.375</v>
      </c>
      <c r="AA22" s="13"/>
      <c r="AB22" s="13">
        <f>286.7/13</f>
        <v>22.053846153846152</v>
      </c>
      <c r="AC22" s="13"/>
      <c r="AD22" s="13">
        <v>24</v>
      </c>
      <c r="AE22" s="13"/>
      <c r="AF22" s="13">
        <f>3401.2/20</f>
        <v>170.06</v>
      </c>
      <c r="AG22" s="13"/>
      <c r="AH22" s="13">
        <f>6372.24/65</f>
        <v>98.03446153846153</v>
      </c>
      <c r="AI22" s="13"/>
      <c r="AJ22" s="13">
        <f>68.18/6</f>
        <v>11.363333333333335</v>
      </c>
      <c r="AK22" s="13"/>
      <c r="AL22" s="13">
        <f>(D22+F22+H22+J22+L22+N22+P22+R22+T22+V22+X22+Z22+AB22++AD22+AF22+AH22+AJ22)/17</f>
        <v>32.616138848595504</v>
      </c>
      <c r="AM22" s="13"/>
    </row>
    <row r="23" spans="1:39" ht="18.75">
      <c r="A23" s="18" t="s">
        <v>41</v>
      </c>
      <c r="B23" s="19" t="s">
        <v>42</v>
      </c>
      <c r="C23" s="19" t="s">
        <v>9</v>
      </c>
      <c r="D23" s="20">
        <v>144</v>
      </c>
      <c r="E23" s="20"/>
      <c r="F23" s="20">
        <v>46</v>
      </c>
      <c r="G23" s="20"/>
      <c r="H23" s="20">
        <v>222</v>
      </c>
      <c r="I23" s="20"/>
      <c r="J23" s="20">
        <v>49</v>
      </c>
      <c r="K23" s="20"/>
      <c r="L23" s="20">
        <v>75</v>
      </c>
      <c r="M23" s="20"/>
      <c r="N23" s="20">
        <v>118</v>
      </c>
      <c r="O23" s="20"/>
      <c r="P23" s="20">
        <f>377/22</f>
        <v>17.136363636363637</v>
      </c>
      <c r="Q23" s="20"/>
      <c r="R23" s="20">
        <v>69</v>
      </c>
      <c r="S23" s="20"/>
      <c r="T23" s="20">
        <v>68</v>
      </c>
      <c r="U23" s="20"/>
      <c r="V23" s="20">
        <v>61</v>
      </c>
      <c r="W23" s="20"/>
      <c r="X23" s="20">
        <v>92</v>
      </c>
      <c r="Y23" s="20"/>
      <c r="Z23" s="20">
        <v>80</v>
      </c>
      <c r="AA23" s="20"/>
      <c r="AB23" s="20">
        <v>157</v>
      </c>
      <c r="AC23" s="20"/>
      <c r="AD23" s="20">
        <v>25</v>
      </c>
      <c r="AE23" s="20"/>
      <c r="AF23" s="20">
        <v>370</v>
      </c>
      <c r="AG23" s="20"/>
      <c r="AH23" s="20">
        <v>1238</v>
      </c>
      <c r="AI23" s="20"/>
      <c r="AJ23" s="20">
        <v>140</v>
      </c>
      <c r="AK23" s="20"/>
      <c r="AL23" s="20">
        <f t="shared" si="0"/>
        <v>2971.1363636363635</v>
      </c>
      <c r="AM23" s="20"/>
    </row>
    <row r="24" spans="1:39" ht="36" customHeight="1">
      <c r="A24" s="27" t="s">
        <v>43</v>
      </c>
      <c r="B24" s="28" t="s">
        <v>44</v>
      </c>
      <c r="C24" s="28" t="s">
        <v>12</v>
      </c>
      <c r="D24" s="15">
        <v>95</v>
      </c>
      <c r="E24" s="15">
        <f>D24/D23*100</f>
        <v>65.97222222222221</v>
      </c>
      <c r="F24" s="15">
        <v>36</v>
      </c>
      <c r="G24" s="15">
        <f>F24/F23*100</f>
        <v>78.26086956521739</v>
      </c>
      <c r="H24" s="15">
        <v>119</v>
      </c>
      <c r="I24" s="15">
        <f>H24/H23*100</f>
        <v>53.6036036036036</v>
      </c>
      <c r="J24" s="15">
        <v>28</v>
      </c>
      <c r="K24" s="15">
        <f>J24/J23*100</f>
        <v>57.14285714285714</v>
      </c>
      <c r="L24" s="15">
        <v>51</v>
      </c>
      <c r="M24" s="15">
        <f>L24/L23*100</f>
        <v>68</v>
      </c>
      <c r="N24" s="15">
        <v>74</v>
      </c>
      <c r="O24" s="15">
        <f>N24/N23*100</f>
        <v>62.71186440677966</v>
      </c>
      <c r="P24" s="15">
        <v>265</v>
      </c>
      <c r="Q24" s="15">
        <f>P24/P23*100</f>
        <v>1546.419098143236</v>
      </c>
      <c r="R24" s="15">
        <v>48</v>
      </c>
      <c r="S24" s="15">
        <f>R24/R23*100</f>
        <v>69.56521739130434</v>
      </c>
      <c r="T24" s="15">
        <v>45</v>
      </c>
      <c r="U24" s="15">
        <f>T24/T23*100</f>
        <v>66.17647058823529</v>
      </c>
      <c r="V24" s="15">
        <v>37</v>
      </c>
      <c r="W24" s="15">
        <f>V24/V23*100</f>
        <v>60.65573770491803</v>
      </c>
      <c r="X24" s="15">
        <v>47</v>
      </c>
      <c r="Y24" s="15">
        <f>X24/X23*100</f>
        <v>51.08695652173913</v>
      </c>
      <c r="Z24" s="15">
        <v>66</v>
      </c>
      <c r="AA24" s="15">
        <f>Z24/Z23*100</f>
        <v>82.5</v>
      </c>
      <c r="AB24" s="15">
        <v>115</v>
      </c>
      <c r="AC24" s="15">
        <f>AB24/AB23*100</f>
        <v>73.24840764331209</v>
      </c>
      <c r="AD24" s="15">
        <v>17</v>
      </c>
      <c r="AE24" s="15">
        <f>AD24/AD23*100</f>
        <v>68</v>
      </c>
      <c r="AF24" s="15">
        <v>231</v>
      </c>
      <c r="AG24" s="15">
        <f>AF24/AF23*100</f>
        <v>62.43243243243243</v>
      </c>
      <c r="AH24" s="15">
        <v>991</v>
      </c>
      <c r="AI24" s="15">
        <f>AH24/AH23*100</f>
        <v>80.04846526655896</v>
      </c>
      <c r="AJ24" s="15">
        <v>104</v>
      </c>
      <c r="AK24" s="15">
        <f>AJ24/AJ23*100</f>
        <v>74.28571428571429</v>
      </c>
      <c r="AL24" s="15">
        <f t="shared" si="0"/>
        <v>2369</v>
      </c>
      <c r="AM24" s="15">
        <f>AL24/AL23*100</f>
        <v>79.73380249368928</v>
      </c>
    </row>
    <row r="25" spans="1:39" ht="56.25">
      <c r="A25" s="5" t="s">
        <v>45</v>
      </c>
      <c r="B25" s="3" t="s">
        <v>46</v>
      </c>
      <c r="C25" s="3" t="s">
        <v>12</v>
      </c>
      <c r="D25" s="13">
        <v>78</v>
      </c>
      <c r="E25" s="13">
        <f>D25/D23*100</f>
        <v>54.166666666666664</v>
      </c>
      <c r="F25" s="13">
        <v>34</v>
      </c>
      <c r="G25" s="13">
        <f>F25/F23*100</f>
        <v>73.91304347826086</v>
      </c>
      <c r="H25" s="13">
        <v>113</v>
      </c>
      <c r="I25" s="13">
        <f>H25/H23*100</f>
        <v>50.9009009009009</v>
      </c>
      <c r="J25" s="13">
        <v>27</v>
      </c>
      <c r="K25" s="13">
        <f>J25/J23*100</f>
        <v>55.10204081632652</v>
      </c>
      <c r="L25" s="13">
        <v>47</v>
      </c>
      <c r="M25" s="13">
        <f>L25/L23*100</f>
        <v>62.66666666666667</v>
      </c>
      <c r="N25" s="13">
        <v>61</v>
      </c>
      <c r="O25" s="13">
        <f>N25/N23*100</f>
        <v>51.69491525423729</v>
      </c>
      <c r="P25" s="13">
        <v>257</v>
      </c>
      <c r="Q25" s="13">
        <f>P25/P23*100</f>
        <v>1499.73474801061</v>
      </c>
      <c r="R25" s="13">
        <v>48</v>
      </c>
      <c r="S25" s="13">
        <f>R25/R23*100</f>
        <v>69.56521739130434</v>
      </c>
      <c r="T25" s="13">
        <v>33</v>
      </c>
      <c r="U25" s="13">
        <f>T25/T23*100</f>
        <v>48.529411764705884</v>
      </c>
      <c r="V25" s="13">
        <v>33</v>
      </c>
      <c r="W25" s="13">
        <f>V25/V23*100</f>
        <v>54.09836065573771</v>
      </c>
      <c r="X25" s="13">
        <v>39</v>
      </c>
      <c r="Y25" s="13">
        <f>X25/X23*100</f>
        <v>42.391304347826086</v>
      </c>
      <c r="Z25" s="13">
        <v>66</v>
      </c>
      <c r="AA25" s="13">
        <f>Z25/Z23*100</f>
        <v>82.5</v>
      </c>
      <c r="AB25" s="13">
        <v>98</v>
      </c>
      <c r="AC25" s="13">
        <f>AB25/AB23*100</f>
        <v>62.42038216560509</v>
      </c>
      <c r="AD25" s="13">
        <v>17</v>
      </c>
      <c r="AE25" s="13">
        <f>AD25/AD23*100</f>
        <v>68</v>
      </c>
      <c r="AF25" s="13">
        <v>215</v>
      </c>
      <c r="AG25" s="13">
        <f>AF25/AF23*100</f>
        <v>58.108108108108105</v>
      </c>
      <c r="AH25" s="13">
        <v>867</v>
      </c>
      <c r="AI25" s="13">
        <f>AH25/AH23*100</f>
        <v>70.03231017770598</v>
      </c>
      <c r="AJ25" s="13">
        <v>93</v>
      </c>
      <c r="AK25" s="13">
        <f>AJ25/AJ23*100</f>
        <v>66.42857142857143</v>
      </c>
      <c r="AL25" s="13">
        <f t="shared" si="0"/>
        <v>2126</v>
      </c>
      <c r="AM25" s="13">
        <f>AL25/AL23*100</f>
        <v>71.55511359290139</v>
      </c>
    </row>
    <row r="26" spans="1:39" ht="37.5">
      <c r="A26" s="5" t="s">
        <v>47</v>
      </c>
      <c r="B26" s="3" t="s">
        <v>48</v>
      </c>
      <c r="C26" s="3" t="s">
        <v>12</v>
      </c>
      <c r="D26" s="13">
        <v>47</v>
      </c>
      <c r="E26" s="13">
        <f>D26/D23*100</f>
        <v>32.63888888888889</v>
      </c>
      <c r="F26" s="13">
        <v>10</v>
      </c>
      <c r="G26" s="13">
        <f>F26/F23*100</f>
        <v>21.73913043478261</v>
      </c>
      <c r="H26" s="13">
        <v>95</v>
      </c>
      <c r="I26" s="13">
        <f>H26/H23*100</f>
        <v>42.792792792792795</v>
      </c>
      <c r="J26" s="13">
        <v>20</v>
      </c>
      <c r="K26" s="13">
        <f>J26/J23*100</f>
        <v>40.816326530612244</v>
      </c>
      <c r="L26" s="13">
        <v>22</v>
      </c>
      <c r="M26" s="13">
        <f>L26/L23*100</f>
        <v>29.333333333333332</v>
      </c>
      <c r="N26" s="13">
        <v>44</v>
      </c>
      <c r="O26" s="13">
        <f>N26/N23*100</f>
        <v>37.28813559322034</v>
      </c>
      <c r="P26" s="13">
        <v>106</v>
      </c>
      <c r="Q26" s="13">
        <f>P26/P23*100</f>
        <v>618.5676392572943</v>
      </c>
      <c r="R26" s="13">
        <v>20</v>
      </c>
      <c r="S26" s="13">
        <f>R26/R23*100</f>
        <v>28.985507246376812</v>
      </c>
      <c r="T26" s="13">
        <v>21</v>
      </c>
      <c r="U26" s="13">
        <f>T26/T23*100</f>
        <v>30.88235294117647</v>
      </c>
      <c r="V26" s="13">
        <v>23</v>
      </c>
      <c r="W26" s="13">
        <f>V26/V23*100</f>
        <v>37.704918032786885</v>
      </c>
      <c r="X26" s="13">
        <v>44</v>
      </c>
      <c r="Y26" s="13">
        <f>X26/X23*100</f>
        <v>47.82608695652174</v>
      </c>
      <c r="Z26" s="13">
        <v>14</v>
      </c>
      <c r="AA26" s="13">
        <f>Z26/Z23*100</f>
        <v>17.5</v>
      </c>
      <c r="AB26" s="13">
        <v>37</v>
      </c>
      <c r="AC26" s="13">
        <f>AB26/AB23*100</f>
        <v>23.56687898089172</v>
      </c>
      <c r="AD26" s="13">
        <v>7</v>
      </c>
      <c r="AE26" s="13">
        <f>AD26/AD23*100</f>
        <v>28.000000000000004</v>
      </c>
      <c r="AF26" s="13">
        <v>119</v>
      </c>
      <c r="AG26" s="13">
        <f>AF26/AF23*100</f>
        <v>32.16216216216216</v>
      </c>
      <c r="AH26" s="13">
        <v>241</v>
      </c>
      <c r="AI26" s="13">
        <f>AH26/AH23*100</f>
        <v>19.466882067851373</v>
      </c>
      <c r="AJ26" s="13">
        <v>36</v>
      </c>
      <c r="AK26" s="13">
        <f>AJ26/AJ23*100</f>
        <v>25.71428571428571</v>
      </c>
      <c r="AL26" s="13">
        <f t="shared" si="0"/>
        <v>906</v>
      </c>
      <c r="AM26" s="13">
        <f>AL26/AL23*100</f>
        <v>30.493383309110385</v>
      </c>
    </row>
    <row r="27" spans="1:39" ht="56.25">
      <c r="A27" s="5" t="s">
        <v>49</v>
      </c>
      <c r="B27" s="3" t="s">
        <v>50</v>
      </c>
      <c r="C27" s="3" t="s">
        <v>12</v>
      </c>
      <c r="D27" s="13">
        <v>36</v>
      </c>
      <c r="E27" s="13">
        <f>D27/D23*100</f>
        <v>25</v>
      </c>
      <c r="F27" s="13">
        <v>10</v>
      </c>
      <c r="G27" s="13">
        <f>F27/F23*100</f>
        <v>21.73913043478261</v>
      </c>
      <c r="H27" s="13">
        <v>74</v>
      </c>
      <c r="I27" s="13">
        <f>H27/H23*100</f>
        <v>33.33333333333333</v>
      </c>
      <c r="J27" s="13">
        <v>19</v>
      </c>
      <c r="K27" s="13">
        <f>J27/J23*100</f>
        <v>38.775510204081634</v>
      </c>
      <c r="L27" s="13">
        <v>21</v>
      </c>
      <c r="M27" s="13">
        <f>L27/L23*100</f>
        <v>28.000000000000004</v>
      </c>
      <c r="N27" s="13">
        <v>35</v>
      </c>
      <c r="O27" s="13">
        <f>N27/N23*100</f>
        <v>29.66101694915254</v>
      </c>
      <c r="P27" s="13">
        <v>93</v>
      </c>
      <c r="Q27" s="13">
        <f>P27/P23*100</f>
        <v>542.7055702917772</v>
      </c>
      <c r="R27" s="13">
        <v>18</v>
      </c>
      <c r="S27" s="13">
        <f>R27/R23*100</f>
        <v>26.08695652173913</v>
      </c>
      <c r="T27" s="13">
        <v>21</v>
      </c>
      <c r="U27" s="13">
        <f>T27/T23*100</f>
        <v>30.88235294117647</v>
      </c>
      <c r="V27" s="13">
        <v>22</v>
      </c>
      <c r="W27" s="13">
        <f>V27/V23*100</f>
        <v>36.0655737704918</v>
      </c>
      <c r="X27" s="13">
        <v>39</v>
      </c>
      <c r="Y27" s="13">
        <f>X27/X23*100</f>
        <v>42.391304347826086</v>
      </c>
      <c r="Z27" s="13">
        <v>12</v>
      </c>
      <c r="AA27" s="13">
        <f>Z27/Z23*100</f>
        <v>15</v>
      </c>
      <c r="AB27" s="13">
        <v>30</v>
      </c>
      <c r="AC27" s="13">
        <f>AB27/AB23*100</f>
        <v>19.10828025477707</v>
      </c>
      <c r="AD27" s="13">
        <v>7</v>
      </c>
      <c r="AE27" s="13">
        <f>AD27/AD23*100</f>
        <v>28.000000000000004</v>
      </c>
      <c r="AF27" s="13">
        <v>83</v>
      </c>
      <c r="AG27" s="13">
        <f>AF27/AF23*100</f>
        <v>22.432432432432435</v>
      </c>
      <c r="AH27" s="13">
        <v>223</v>
      </c>
      <c r="AI27" s="13">
        <f>AH27/AH23*100</f>
        <v>18.012924071082388</v>
      </c>
      <c r="AJ27" s="13">
        <v>36</v>
      </c>
      <c r="AK27" s="13">
        <f>AJ27/AJ23*100</f>
        <v>25.71428571428571</v>
      </c>
      <c r="AL27" s="13">
        <f t="shared" si="0"/>
        <v>779</v>
      </c>
      <c r="AM27" s="13">
        <f>AL27/AL23*100</f>
        <v>26.218924500879677</v>
      </c>
    </row>
    <row r="28" spans="1:39" ht="57.75" customHeight="1">
      <c r="A28" s="18" t="s">
        <v>51</v>
      </c>
      <c r="B28" s="19" t="s">
        <v>52</v>
      </c>
      <c r="C28" s="19" t="s">
        <v>12</v>
      </c>
      <c r="D28" s="20">
        <v>87</v>
      </c>
      <c r="E28" s="20">
        <f>D28/D23*100</f>
        <v>60.416666666666664</v>
      </c>
      <c r="F28" s="20">
        <v>38</v>
      </c>
      <c r="G28" s="20">
        <f>F28/F23*100</f>
        <v>82.6086956521739</v>
      </c>
      <c r="H28" s="20">
        <v>107</v>
      </c>
      <c r="I28" s="20">
        <f>H28/H23*100</f>
        <v>48.1981981981982</v>
      </c>
      <c r="J28" s="20">
        <v>29</v>
      </c>
      <c r="K28" s="20">
        <f>J28/J23*100</f>
        <v>59.183673469387756</v>
      </c>
      <c r="L28" s="20">
        <v>49</v>
      </c>
      <c r="M28" s="20">
        <f>L28/L23*100</f>
        <v>65.33333333333333</v>
      </c>
      <c r="N28" s="20">
        <v>66</v>
      </c>
      <c r="O28" s="20">
        <f>N28/N23*100</f>
        <v>55.932203389830505</v>
      </c>
      <c r="P28" s="20">
        <v>246</v>
      </c>
      <c r="Q28" s="20">
        <f>P28/P23*100</f>
        <v>1435.5437665782492</v>
      </c>
      <c r="R28" s="20">
        <v>48</v>
      </c>
      <c r="S28" s="20">
        <f>R28/R23*100</f>
        <v>69.56521739130434</v>
      </c>
      <c r="T28" s="20">
        <v>34</v>
      </c>
      <c r="U28" s="20">
        <f>T28/T23*100</f>
        <v>50</v>
      </c>
      <c r="V28" s="20">
        <v>28</v>
      </c>
      <c r="W28" s="20">
        <f>V28/V23*100</f>
        <v>45.90163934426229</v>
      </c>
      <c r="X28" s="20">
        <v>52</v>
      </c>
      <c r="Y28" s="20">
        <f>X28/X23*100</f>
        <v>56.52173913043478</v>
      </c>
      <c r="Z28" s="20">
        <v>55</v>
      </c>
      <c r="AA28" s="20">
        <f>Z28/Z23*100</f>
        <v>68.75</v>
      </c>
      <c r="AB28" s="20">
        <v>105</v>
      </c>
      <c r="AC28" s="20">
        <f>AB28/AB23*100</f>
        <v>66.87898089171973</v>
      </c>
      <c r="AD28" s="20">
        <v>6</v>
      </c>
      <c r="AE28" s="20">
        <f>AD28/AD23*100</f>
        <v>24</v>
      </c>
      <c r="AF28" s="20">
        <v>222</v>
      </c>
      <c r="AG28" s="20">
        <f>AF28/AF23*100</f>
        <v>60</v>
      </c>
      <c r="AH28" s="20">
        <v>907</v>
      </c>
      <c r="AI28" s="20">
        <f>AH28/AH23*100</f>
        <v>73.26332794830371</v>
      </c>
      <c r="AJ28" s="20">
        <v>94</v>
      </c>
      <c r="AK28" s="20">
        <f>AJ28/AJ23*100</f>
        <v>67.14285714285714</v>
      </c>
      <c r="AL28" s="20">
        <f t="shared" si="0"/>
        <v>2173</v>
      </c>
      <c r="AM28" s="20">
        <f>AL28/AL23*100</f>
        <v>73.13699992350647</v>
      </c>
    </row>
    <row r="29" spans="1:39" ht="37.5">
      <c r="A29" s="5" t="s">
        <v>53</v>
      </c>
      <c r="B29" s="3" t="s">
        <v>54</v>
      </c>
      <c r="C29" s="3" t="s">
        <v>12</v>
      </c>
      <c r="D29" s="13">
        <v>20</v>
      </c>
      <c r="E29" s="13">
        <f>D29/D28*100</f>
        <v>22.988505747126435</v>
      </c>
      <c r="F29" s="13">
        <v>8</v>
      </c>
      <c r="G29" s="13">
        <f>F29/F28*100</f>
        <v>21.052631578947366</v>
      </c>
      <c r="H29" s="16">
        <v>26</v>
      </c>
      <c r="I29" s="13">
        <f>H29/H28*100</f>
        <v>24.299065420560748</v>
      </c>
      <c r="J29" s="13">
        <v>4</v>
      </c>
      <c r="K29" s="13">
        <f>J29/J28*100</f>
        <v>13.793103448275861</v>
      </c>
      <c r="L29" s="13">
        <v>10</v>
      </c>
      <c r="M29" s="13">
        <f>L29/L28*100</f>
        <v>20.408163265306122</v>
      </c>
      <c r="N29" s="16">
        <v>7</v>
      </c>
      <c r="O29" s="13">
        <f>N29/N28*100</f>
        <v>10.606060606060606</v>
      </c>
      <c r="P29" s="16">
        <v>75</v>
      </c>
      <c r="Q29" s="13">
        <f>P29/P28*100</f>
        <v>30.48780487804878</v>
      </c>
      <c r="R29" s="13">
        <v>6</v>
      </c>
      <c r="S29" s="13">
        <f>R29/R28*100</f>
        <v>12.5</v>
      </c>
      <c r="T29" s="13">
        <v>13</v>
      </c>
      <c r="U29" s="13">
        <f>T29/T28*100</f>
        <v>38.23529411764706</v>
      </c>
      <c r="V29" s="13">
        <v>11</v>
      </c>
      <c r="W29" s="13">
        <f>V29/V28*100</f>
        <v>39.285714285714285</v>
      </c>
      <c r="X29" s="13">
        <v>10</v>
      </c>
      <c r="Y29" s="13">
        <f>X29/X28*100</f>
        <v>19.230769230769234</v>
      </c>
      <c r="Z29" s="13">
        <v>24</v>
      </c>
      <c r="AA29" s="13">
        <f>Z29/Z28*100</f>
        <v>43.63636363636363</v>
      </c>
      <c r="AB29" s="13">
        <v>20</v>
      </c>
      <c r="AC29" s="13">
        <f>AB29/AB28*100</f>
        <v>19.047619047619047</v>
      </c>
      <c r="AD29" s="13">
        <v>0</v>
      </c>
      <c r="AE29" s="13">
        <v>0</v>
      </c>
      <c r="AF29" s="16">
        <v>52</v>
      </c>
      <c r="AG29" s="13">
        <f>AF29/AF28*100</f>
        <v>23.423423423423422</v>
      </c>
      <c r="AH29" s="16">
        <v>341</v>
      </c>
      <c r="AI29" s="13">
        <f>AH29/AH28*100</f>
        <v>37.59647188533627</v>
      </c>
      <c r="AJ29" s="13">
        <v>17</v>
      </c>
      <c r="AK29" s="13">
        <f>AJ29/AJ28*100</f>
        <v>18.085106382978726</v>
      </c>
      <c r="AL29" s="13">
        <f t="shared" si="0"/>
        <v>644</v>
      </c>
      <c r="AM29" s="13">
        <f>AL29/AL28*100</f>
        <v>29.636447307869307</v>
      </c>
    </row>
    <row r="30" spans="1:39" ht="37.5">
      <c r="A30" s="5" t="s">
        <v>55</v>
      </c>
      <c r="B30" s="3" t="s">
        <v>56</v>
      </c>
      <c r="C30" s="3" t="s">
        <v>12</v>
      </c>
      <c r="D30" s="13">
        <v>67</v>
      </c>
      <c r="E30" s="13">
        <f>D30/D28*100</f>
        <v>77.01149425287356</v>
      </c>
      <c r="F30" s="13">
        <v>30</v>
      </c>
      <c r="G30" s="13">
        <f>F30/F28*100</f>
        <v>78.94736842105263</v>
      </c>
      <c r="H30" s="16">
        <v>78</v>
      </c>
      <c r="I30" s="13">
        <f>H30/H28*100</f>
        <v>72.89719626168224</v>
      </c>
      <c r="J30" s="13">
        <v>25</v>
      </c>
      <c r="K30" s="13">
        <f>J30/J28*100</f>
        <v>86.20689655172413</v>
      </c>
      <c r="L30" s="13">
        <v>33</v>
      </c>
      <c r="M30" s="13">
        <f>L30/L28*100</f>
        <v>67.3469387755102</v>
      </c>
      <c r="N30" s="16">
        <v>56</v>
      </c>
      <c r="O30" s="13">
        <f>N30/N28*100</f>
        <v>84.84848484848484</v>
      </c>
      <c r="P30" s="16">
        <v>155</v>
      </c>
      <c r="Q30" s="13">
        <f>P30/P28*100</f>
        <v>63.00813008130082</v>
      </c>
      <c r="R30" s="13">
        <v>42</v>
      </c>
      <c r="S30" s="13">
        <f>R30/R28*100</f>
        <v>87.5</v>
      </c>
      <c r="T30" s="13">
        <v>21</v>
      </c>
      <c r="U30" s="13">
        <f>T30/T28*100</f>
        <v>61.76470588235294</v>
      </c>
      <c r="V30" s="13">
        <v>14</v>
      </c>
      <c r="W30" s="13">
        <f>V30/V28*100</f>
        <v>50</v>
      </c>
      <c r="X30" s="13">
        <v>42</v>
      </c>
      <c r="Y30" s="13">
        <f>X30/X28*100</f>
        <v>80.76923076923077</v>
      </c>
      <c r="Z30" s="13">
        <v>26</v>
      </c>
      <c r="AA30" s="13">
        <f>Z30/Z28*100</f>
        <v>47.27272727272727</v>
      </c>
      <c r="AB30" s="13">
        <v>81</v>
      </c>
      <c r="AC30" s="13">
        <f>AB30/AB28*100</f>
        <v>77.14285714285715</v>
      </c>
      <c r="AD30" s="13">
        <v>6</v>
      </c>
      <c r="AE30" s="13">
        <f>AD30/AD28*100</f>
        <v>100</v>
      </c>
      <c r="AF30" s="16">
        <v>159</v>
      </c>
      <c r="AG30" s="13">
        <f>AF30/AF28*100</f>
        <v>71.62162162162163</v>
      </c>
      <c r="AH30" s="16">
        <v>558</v>
      </c>
      <c r="AI30" s="13">
        <f>AH30/AH28*100</f>
        <v>61.52149944873209</v>
      </c>
      <c r="AJ30" s="13">
        <v>77</v>
      </c>
      <c r="AK30" s="13">
        <f>AJ30/AJ28*100</f>
        <v>81.91489361702128</v>
      </c>
      <c r="AL30" s="13">
        <f t="shared" si="0"/>
        <v>1470</v>
      </c>
      <c r="AM30" s="13">
        <f>AL30/AL28*100</f>
        <v>67.64841233317993</v>
      </c>
    </row>
    <row r="31" spans="1:39" ht="54.75" customHeight="1">
      <c r="A31" s="5" t="s">
        <v>57</v>
      </c>
      <c r="B31" s="3" t="s">
        <v>58</v>
      </c>
      <c r="C31" s="3" t="s">
        <v>12</v>
      </c>
      <c r="D31" s="13"/>
      <c r="E31" s="13"/>
      <c r="F31" s="13"/>
      <c r="H31" s="13"/>
      <c r="I31" s="13"/>
      <c r="J31" s="13"/>
      <c r="K31" s="13"/>
      <c r="L31" s="13"/>
      <c r="M31" s="13"/>
      <c r="N31" s="13">
        <v>0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ht="37.5">
      <c r="A32" s="5" t="s">
        <v>59</v>
      </c>
      <c r="B32" s="3" t="s">
        <v>60</v>
      </c>
      <c r="C32" s="3" t="s">
        <v>12</v>
      </c>
      <c r="D32" s="13">
        <v>20</v>
      </c>
      <c r="E32" s="13">
        <f>D32/D23*100</f>
        <v>13.88888888888889</v>
      </c>
      <c r="F32" s="13">
        <v>7</v>
      </c>
      <c r="G32" s="15">
        <f>F32/F23*100</f>
        <v>15.217391304347828</v>
      </c>
      <c r="H32" s="13">
        <v>49</v>
      </c>
      <c r="I32" s="13">
        <f>H32/H23*100</f>
        <v>22.07207207207207</v>
      </c>
      <c r="J32" s="13">
        <v>4</v>
      </c>
      <c r="K32" s="13">
        <f>J32/J23*100</f>
        <v>8.16326530612245</v>
      </c>
      <c r="L32" s="13">
        <v>5</v>
      </c>
      <c r="M32" s="13">
        <f>L32/L23*100</f>
        <v>6.666666666666667</v>
      </c>
      <c r="N32" s="13">
        <v>28</v>
      </c>
      <c r="O32" s="13">
        <f>N32/N23*100</f>
        <v>23.728813559322035</v>
      </c>
      <c r="P32" s="13">
        <v>83</v>
      </c>
      <c r="Q32" s="13">
        <f>P32/P23*100</f>
        <v>484.35013262599466</v>
      </c>
      <c r="R32" s="13">
        <v>12</v>
      </c>
      <c r="S32" s="13">
        <f>R32/R23*100</f>
        <v>17.391304347826086</v>
      </c>
      <c r="T32" s="13">
        <v>6</v>
      </c>
      <c r="U32" s="13">
        <f>T32/T23*100</f>
        <v>8.823529411764707</v>
      </c>
      <c r="V32" s="13">
        <v>19</v>
      </c>
      <c r="W32" s="13">
        <f>V32/V23*100</f>
        <v>31.147540983606557</v>
      </c>
      <c r="X32" s="13">
        <v>18</v>
      </c>
      <c r="Y32" s="13">
        <f>X32/X23*100</f>
        <v>19.565217391304348</v>
      </c>
      <c r="Z32" s="13">
        <v>34</v>
      </c>
      <c r="AA32" s="13">
        <f>Z32/Z23*100</f>
        <v>42.5</v>
      </c>
      <c r="AB32" s="13">
        <v>28</v>
      </c>
      <c r="AC32" s="13">
        <f>AB32/AB23*100</f>
        <v>17.8343949044586</v>
      </c>
      <c r="AD32" s="13">
        <v>5</v>
      </c>
      <c r="AE32" s="13">
        <f>AD32/AD23*100</f>
        <v>20</v>
      </c>
      <c r="AF32" s="13">
        <v>66</v>
      </c>
      <c r="AG32" s="13">
        <f>AF32/AF23*100</f>
        <v>17.83783783783784</v>
      </c>
      <c r="AH32" s="13">
        <v>212</v>
      </c>
      <c r="AI32" s="13">
        <f>AH32/AH23*100</f>
        <v>17.12439418416801</v>
      </c>
      <c r="AJ32" s="13">
        <v>25</v>
      </c>
      <c r="AK32" s="13">
        <f>AJ32/AJ23*100</f>
        <v>17.857142857142858</v>
      </c>
      <c r="AL32" s="13">
        <f t="shared" si="0"/>
        <v>621</v>
      </c>
      <c r="AM32" s="13">
        <f>AL32/AL23*100</f>
        <v>20.901093857569037</v>
      </c>
    </row>
    <row r="33" spans="1:39" ht="37.5">
      <c r="A33" s="5" t="s">
        <v>61</v>
      </c>
      <c r="B33" s="3" t="s">
        <v>62</v>
      </c>
      <c r="C33" s="3" t="s">
        <v>12</v>
      </c>
      <c r="D33" s="13">
        <v>20</v>
      </c>
      <c r="E33" s="13">
        <f>D33/D23*100</f>
        <v>13.88888888888889</v>
      </c>
      <c r="F33" s="13">
        <v>12</v>
      </c>
      <c r="G33" s="15">
        <f>F33/F23*100</f>
        <v>26.08695652173913</v>
      </c>
      <c r="H33" s="13">
        <v>92</v>
      </c>
      <c r="I33" s="13">
        <f>H33/H23*100</f>
        <v>41.44144144144144</v>
      </c>
      <c r="J33" s="13">
        <v>14</v>
      </c>
      <c r="K33" s="13">
        <f>J33/J23*100</f>
        <v>28.57142857142857</v>
      </c>
      <c r="L33" s="13">
        <v>13</v>
      </c>
      <c r="M33" s="13">
        <f>L33/L23*100</f>
        <v>17.333333333333336</v>
      </c>
      <c r="N33" s="13">
        <v>22</v>
      </c>
      <c r="O33" s="13">
        <f>N33/N23*100</f>
        <v>18.64406779661017</v>
      </c>
      <c r="P33" s="13">
        <v>60</v>
      </c>
      <c r="Q33" s="13">
        <f>P33/P23*100</f>
        <v>350.13262599469493</v>
      </c>
      <c r="R33" s="13">
        <v>9</v>
      </c>
      <c r="S33" s="13">
        <f>R33/R23*100</f>
        <v>13.043478260869565</v>
      </c>
      <c r="T33" s="13">
        <v>31</v>
      </c>
      <c r="U33" s="13">
        <f>T33/T23*100</f>
        <v>45.588235294117645</v>
      </c>
      <c r="V33" s="13">
        <v>12</v>
      </c>
      <c r="W33" s="13">
        <f>V33/V23*100</f>
        <v>19.672131147540984</v>
      </c>
      <c r="X33" s="13">
        <v>15</v>
      </c>
      <c r="Y33" s="13">
        <f>X33/X23*100</f>
        <v>16.304347826086957</v>
      </c>
      <c r="Z33" s="13">
        <v>15</v>
      </c>
      <c r="AA33" s="13">
        <f>Z33/Z23*100</f>
        <v>18.75</v>
      </c>
      <c r="AB33" s="13">
        <v>38</v>
      </c>
      <c r="AC33" s="13">
        <f>AB33/AB23*100</f>
        <v>24.203821656050955</v>
      </c>
      <c r="AD33" s="13">
        <v>5</v>
      </c>
      <c r="AE33" s="13">
        <f>AD33/AD23*100</f>
        <v>20</v>
      </c>
      <c r="AF33" s="13">
        <v>68</v>
      </c>
      <c r="AG33" s="13">
        <f>AF33/AF23*100</f>
        <v>18.37837837837838</v>
      </c>
      <c r="AH33" s="13">
        <v>237</v>
      </c>
      <c r="AI33" s="13">
        <f>AH33/AH23*100</f>
        <v>19.143780290791597</v>
      </c>
      <c r="AJ33" s="13">
        <v>29</v>
      </c>
      <c r="AK33" s="13">
        <f>AJ33/AJ23*100</f>
        <v>20.714285714285715</v>
      </c>
      <c r="AL33" s="13">
        <f t="shared" si="0"/>
        <v>692</v>
      </c>
      <c r="AM33" s="13">
        <f>AL33/AL23*100</f>
        <v>23.29075193146179</v>
      </c>
    </row>
    <row r="34" spans="1:39" ht="37.5">
      <c r="A34" s="5" t="s">
        <v>63</v>
      </c>
      <c r="B34" s="3" t="s">
        <v>64</v>
      </c>
      <c r="C34" s="3" t="s">
        <v>12</v>
      </c>
      <c r="D34" s="13">
        <v>21</v>
      </c>
      <c r="E34" s="13">
        <f>D34/D23*100</f>
        <v>14.583333333333334</v>
      </c>
      <c r="F34" s="13">
        <v>9</v>
      </c>
      <c r="G34" s="13">
        <f>F34/F23*100</f>
        <v>19.565217391304348</v>
      </c>
      <c r="H34" s="13">
        <v>47</v>
      </c>
      <c r="I34" s="13">
        <f>H34/H23*100</f>
        <v>21.17117117117117</v>
      </c>
      <c r="J34" s="13">
        <v>5</v>
      </c>
      <c r="K34" s="13">
        <f>J34/J23*100</f>
        <v>10.204081632653061</v>
      </c>
      <c r="L34" s="13">
        <v>6</v>
      </c>
      <c r="M34" s="13">
        <f>L34/L23*100</f>
        <v>8</v>
      </c>
      <c r="N34" s="13">
        <v>25</v>
      </c>
      <c r="O34" s="13">
        <f>N34/N23*100</f>
        <v>21.1864406779661</v>
      </c>
      <c r="P34" s="13">
        <v>81</v>
      </c>
      <c r="Q34" s="13">
        <f>P34/P23*100</f>
        <v>472.6790450928382</v>
      </c>
      <c r="R34" s="13">
        <v>8</v>
      </c>
      <c r="S34" s="13">
        <f>R34/R23*100</f>
        <v>11.594202898550725</v>
      </c>
      <c r="T34" s="13">
        <v>8</v>
      </c>
      <c r="U34" s="13">
        <f>T34/T23*100</f>
        <v>11.76470588235294</v>
      </c>
      <c r="V34" s="13">
        <v>16</v>
      </c>
      <c r="W34" s="13">
        <f>V34/V23*100</f>
        <v>26.229508196721312</v>
      </c>
      <c r="X34" s="13">
        <v>12</v>
      </c>
      <c r="Y34" s="13">
        <f>X34/X23*100</f>
        <v>13.043478260869565</v>
      </c>
      <c r="Z34" s="13">
        <v>12</v>
      </c>
      <c r="AA34" s="13">
        <f>Z34/Z23*100</f>
        <v>15</v>
      </c>
      <c r="AB34" s="13">
        <v>29</v>
      </c>
      <c r="AC34" s="13">
        <f>AB34/AB23*100</f>
        <v>18.471337579617835</v>
      </c>
      <c r="AD34" s="13">
        <v>3</v>
      </c>
      <c r="AE34" s="13">
        <f>AD34/AD23*100</f>
        <v>12</v>
      </c>
      <c r="AF34" s="13">
        <v>52</v>
      </c>
      <c r="AG34" s="13">
        <f>AF34/AF23*100</f>
        <v>14.054054054054054</v>
      </c>
      <c r="AH34" s="13">
        <v>211</v>
      </c>
      <c r="AI34" s="13">
        <f>AH34/AH23*100</f>
        <v>17.043618739903067</v>
      </c>
      <c r="AJ34" s="13">
        <v>23</v>
      </c>
      <c r="AK34" s="13">
        <f>AJ34/AJ23*100</f>
        <v>16.428571428571427</v>
      </c>
      <c r="AL34" s="13">
        <f t="shared" si="0"/>
        <v>568</v>
      </c>
      <c r="AM34" s="13">
        <f>AL34/AL23*100</f>
        <v>19.11726459114205</v>
      </c>
    </row>
    <row r="35" spans="1:39" ht="37.5">
      <c r="A35" s="5" t="s">
        <v>65</v>
      </c>
      <c r="B35" s="3" t="s">
        <v>66</v>
      </c>
      <c r="C35" s="3" t="s">
        <v>12</v>
      </c>
      <c r="D35" s="13">
        <v>11</v>
      </c>
      <c r="E35" s="13">
        <f>D35/D23*100</f>
        <v>7.638888888888889</v>
      </c>
      <c r="F35" s="13">
        <v>13</v>
      </c>
      <c r="G35" s="13">
        <f>F35/F23*100</f>
        <v>28.26086956521739</v>
      </c>
      <c r="H35" s="13">
        <v>80</v>
      </c>
      <c r="I35" s="13">
        <f>H35/H23*100</f>
        <v>36.03603603603604</v>
      </c>
      <c r="J35" s="13">
        <v>7</v>
      </c>
      <c r="K35" s="13">
        <f>J35/J23*100</f>
        <v>14.285714285714285</v>
      </c>
      <c r="L35" s="13">
        <v>10</v>
      </c>
      <c r="M35" s="13">
        <f>L35/L23*100</f>
        <v>13.333333333333334</v>
      </c>
      <c r="N35" s="13">
        <v>7</v>
      </c>
      <c r="O35" s="13">
        <f>N35/N23*100</f>
        <v>5.932203389830509</v>
      </c>
      <c r="P35" s="13">
        <v>33</v>
      </c>
      <c r="Q35" s="13">
        <f>P35/P23*100</f>
        <v>192.57294429708222</v>
      </c>
      <c r="R35" s="13">
        <v>6</v>
      </c>
      <c r="S35" s="13">
        <f>R35/R23*100</f>
        <v>8.695652173913043</v>
      </c>
      <c r="T35" s="13">
        <v>8</v>
      </c>
      <c r="U35" s="13">
        <f>T35/T23*100</f>
        <v>11.76470588235294</v>
      </c>
      <c r="V35" s="13">
        <v>4</v>
      </c>
      <c r="W35" s="13">
        <f>V35/V23*100</f>
        <v>6.557377049180328</v>
      </c>
      <c r="X35" s="13">
        <v>8</v>
      </c>
      <c r="Y35" s="13">
        <f>X35/X23*100</f>
        <v>8.695652173913043</v>
      </c>
      <c r="Z35" s="13">
        <v>6</v>
      </c>
      <c r="AA35" s="13">
        <f>Z35/Z23*100</f>
        <v>7.5</v>
      </c>
      <c r="AB35" s="13">
        <v>27</v>
      </c>
      <c r="AC35" s="13">
        <f>AB35/AB23*100</f>
        <v>17.197452229299362</v>
      </c>
      <c r="AD35" s="13">
        <v>4</v>
      </c>
      <c r="AE35" s="13">
        <f>AD35/AD23*100</f>
        <v>16</v>
      </c>
      <c r="AF35" s="13">
        <v>55</v>
      </c>
      <c r="AG35" s="13">
        <f>AF35/AF23*100</f>
        <v>14.864864864864865</v>
      </c>
      <c r="AH35" s="13">
        <v>206</v>
      </c>
      <c r="AI35" s="13">
        <f>AH35/AH23*100</f>
        <v>16.63974151857835</v>
      </c>
      <c r="AJ35" s="13">
        <v>32</v>
      </c>
      <c r="AK35" s="13">
        <f>AJ35/AJ23*100</f>
        <v>22.857142857142858</v>
      </c>
      <c r="AL35" s="13">
        <f t="shared" si="0"/>
        <v>517</v>
      </c>
      <c r="AM35" s="13">
        <f>AL35/AL23*100</f>
        <v>17.400749636655704</v>
      </c>
    </row>
    <row r="36" spans="1:39" ht="98.25" customHeight="1">
      <c r="A36" s="5" t="s">
        <v>67</v>
      </c>
      <c r="B36" s="3" t="s">
        <v>68</v>
      </c>
      <c r="C36" s="3" t="s">
        <v>12</v>
      </c>
      <c r="D36" s="13">
        <v>129</v>
      </c>
      <c r="E36" s="13">
        <f>D36/D23*100</f>
        <v>89.58333333333334</v>
      </c>
      <c r="F36" s="13">
        <v>29</v>
      </c>
      <c r="G36" s="13">
        <f>F36/F23*100</f>
        <v>63.04347826086957</v>
      </c>
      <c r="H36" s="13">
        <v>193</v>
      </c>
      <c r="I36" s="13">
        <f>H36/H23*100</f>
        <v>86.93693693693693</v>
      </c>
      <c r="J36" s="13">
        <v>44</v>
      </c>
      <c r="K36" s="13">
        <f>J36/J23*100</f>
        <v>89.79591836734694</v>
      </c>
      <c r="L36" s="13">
        <v>67</v>
      </c>
      <c r="M36" s="13">
        <f>L36/L23*100</f>
        <v>89.33333333333333</v>
      </c>
      <c r="N36" s="13">
        <v>107</v>
      </c>
      <c r="O36" s="13">
        <f>N36/N23*100</f>
        <v>90.67796610169492</v>
      </c>
      <c r="P36" s="15">
        <v>332</v>
      </c>
      <c r="Q36" s="13">
        <f>P36/P23*100</f>
        <v>1937.4005305039786</v>
      </c>
      <c r="R36" s="13">
        <v>58</v>
      </c>
      <c r="S36" s="13">
        <f>R36/R23*100</f>
        <v>84.05797101449275</v>
      </c>
      <c r="T36" s="13">
        <v>55</v>
      </c>
      <c r="U36" s="13">
        <f>T36/T23*100</f>
        <v>80.88235294117648</v>
      </c>
      <c r="V36" s="13">
        <v>54</v>
      </c>
      <c r="W36" s="13">
        <f>V36/V23*100</f>
        <v>88.52459016393442</v>
      </c>
      <c r="X36" s="16">
        <v>94</v>
      </c>
      <c r="Y36" s="16">
        <f>X36/X23*100</f>
        <v>102.17391304347827</v>
      </c>
      <c r="Z36" s="13">
        <v>55</v>
      </c>
      <c r="AA36" s="13">
        <f>Z36/Z23*100</f>
        <v>68.75</v>
      </c>
      <c r="AB36" s="13">
        <v>106</v>
      </c>
      <c r="AC36" s="13">
        <f>AB36/AB23*100</f>
        <v>67.51592356687898</v>
      </c>
      <c r="AD36" s="13">
        <v>2</v>
      </c>
      <c r="AE36" s="13">
        <f>AD36/AD23*100</f>
        <v>8</v>
      </c>
      <c r="AF36" s="13">
        <v>245</v>
      </c>
      <c r="AG36" s="13">
        <f>AF36/AF23*100</f>
        <v>66.21621621621621</v>
      </c>
      <c r="AH36" s="13">
        <v>945</v>
      </c>
      <c r="AI36" s="13">
        <f>AH36/AH23*100</f>
        <v>76.33279483037157</v>
      </c>
      <c r="AJ36" s="13">
        <v>106</v>
      </c>
      <c r="AK36" s="13">
        <f>AJ36/AJ23*100</f>
        <v>75.71428571428571</v>
      </c>
      <c r="AL36" s="13">
        <f t="shared" si="0"/>
        <v>2621</v>
      </c>
      <c r="AM36" s="13">
        <f>AL36/AL23*100</f>
        <v>88.21540579821006</v>
      </c>
    </row>
    <row r="37" spans="1:39" ht="96" customHeight="1">
      <c r="A37" s="5" t="s">
        <v>69</v>
      </c>
      <c r="B37" s="3" t="s">
        <v>70</v>
      </c>
      <c r="C37" s="3" t="s">
        <v>12</v>
      </c>
      <c r="D37" s="13">
        <v>94</v>
      </c>
      <c r="E37" s="13">
        <f>D37/D23*100</f>
        <v>65.27777777777779</v>
      </c>
      <c r="F37" s="13">
        <v>32</v>
      </c>
      <c r="G37" s="13">
        <f>F37/F23*100</f>
        <v>69.56521739130434</v>
      </c>
      <c r="H37" s="13">
        <v>136</v>
      </c>
      <c r="I37" s="13">
        <f>H37/H23*100</f>
        <v>61.261261261261254</v>
      </c>
      <c r="J37" s="13">
        <v>23</v>
      </c>
      <c r="K37" s="13">
        <f>J37/J23*100</f>
        <v>46.93877551020408</v>
      </c>
      <c r="L37" s="13">
        <v>61</v>
      </c>
      <c r="M37" s="13">
        <f>L37/L23*100</f>
        <v>81.33333333333333</v>
      </c>
      <c r="N37" s="13">
        <v>93</v>
      </c>
      <c r="O37" s="13">
        <f>N37/N23*100</f>
        <v>78.8135593220339</v>
      </c>
      <c r="P37" s="13">
        <v>238</v>
      </c>
      <c r="Q37" s="13">
        <f>P37/P23*100</f>
        <v>1388.8594164456233</v>
      </c>
      <c r="R37" s="13">
        <v>66</v>
      </c>
      <c r="S37" s="13">
        <f>R37/R23*100</f>
        <v>95.65217391304348</v>
      </c>
      <c r="T37" s="13">
        <v>66</v>
      </c>
      <c r="U37" s="13">
        <f>T37/T23*100</f>
        <v>97.05882352941177</v>
      </c>
      <c r="V37" s="13">
        <v>34</v>
      </c>
      <c r="W37" s="13">
        <f>V37/V23*100</f>
        <v>55.73770491803278</v>
      </c>
      <c r="X37" s="13">
        <v>87</v>
      </c>
      <c r="Y37" s="13">
        <f>X37/X23*100</f>
        <v>94.56521739130434</v>
      </c>
      <c r="Z37" s="13">
        <v>79</v>
      </c>
      <c r="AA37" s="13">
        <f>Z37/Z23*100</f>
        <v>98.75</v>
      </c>
      <c r="AB37" s="13">
        <v>93</v>
      </c>
      <c r="AC37" s="13">
        <f>AB37/AB23*100</f>
        <v>59.23566878980891</v>
      </c>
      <c r="AD37" s="13">
        <v>16</v>
      </c>
      <c r="AE37" s="13">
        <f>AD37/AD23*100</f>
        <v>64</v>
      </c>
      <c r="AF37" s="13">
        <v>320</v>
      </c>
      <c r="AG37" s="13">
        <f>AF37/AF23*100</f>
        <v>86.48648648648648</v>
      </c>
      <c r="AH37" s="13">
        <v>557</v>
      </c>
      <c r="AI37" s="13">
        <f>AH37/AH23*100</f>
        <v>44.99192245557351</v>
      </c>
      <c r="AJ37" s="13">
        <v>77</v>
      </c>
      <c r="AK37" s="13">
        <f>AJ37/AJ23*100</f>
        <v>55.00000000000001</v>
      </c>
      <c r="AL37" s="13">
        <f t="shared" si="0"/>
        <v>2072</v>
      </c>
      <c r="AM37" s="13">
        <f>AL37/AL23*100</f>
        <v>69.73762717050408</v>
      </c>
    </row>
    <row r="38" spans="1:39" ht="37.5">
      <c r="A38" s="5" t="s">
        <v>71</v>
      </c>
      <c r="B38" s="3" t="s">
        <v>72</v>
      </c>
      <c r="C38" s="3" t="s">
        <v>73</v>
      </c>
      <c r="D38" s="13">
        <f>1.37/10</f>
        <v>0.137</v>
      </c>
      <c r="E38" s="13"/>
      <c r="F38" s="13">
        <f>0.98/9</f>
        <v>0.10888888888888888</v>
      </c>
      <c r="G38" s="13"/>
      <c r="H38" s="13">
        <f>1.75/16</f>
        <v>0.109375</v>
      </c>
      <c r="I38" s="13"/>
      <c r="J38" s="13">
        <f>0.95/8</f>
        <v>0.11875</v>
      </c>
      <c r="K38" s="10"/>
      <c r="L38" s="13">
        <f>1.24/10</f>
        <v>0.124</v>
      </c>
      <c r="M38" s="10"/>
      <c r="N38" s="13">
        <f>2.13/19</f>
        <v>0.11210526315789474</v>
      </c>
      <c r="O38" s="13"/>
      <c r="P38" s="13">
        <f>2.19/22</f>
        <v>0.09954545454545455</v>
      </c>
      <c r="Q38" s="13"/>
      <c r="R38" s="13">
        <f>0.58/6</f>
        <v>0.09666666666666666</v>
      </c>
      <c r="S38" s="13"/>
      <c r="T38" s="13">
        <f>0.97/11</f>
        <v>0.08818181818181818</v>
      </c>
      <c r="U38" s="13"/>
      <c r="V38" s="13">
        <f>0.68/9</f>
        <v>0.07555555555555556</v>
      </c>
      <c r="W38" s="13"/>
      <c r="X38" s="13">
        <f>1.42/13</f>
        <v>0.10923076923076923</v>
      </c>
      <c r="Y38" s="13"/>
      <c r="Z38" s="13">
        <f>0.91/8</f>
        <v>0.11375</v>
      </c>
      <c r="AA38" s="13"/>
      <c r="AB38" s="13">
        <f>1.31/13</f>
        <v>0.10076923076923078</v>
      </c>
      <c r="AC38" s="13"/>
      <c r="AD38" s="13">
        <v>0.09</v>
      </c>
      <c r="AE38" s="13"/>
      <c r="AF38" s="13">
        <f>2.22/20</f>
        <v>0.11100000000000002</v>
      </c>
      <c r="AG38" s="13"/>
      <c r="AH38" s="13">
        <f>6.31/65</f>
        <v>0.09707692307692307</v>
      </c>
      <c r="AI38" s="13"/>
      <c r="AJ38" s="13">
        <f>0.71/6</f>
        <v>0.11833333333333333</v>
      </c>
      <c r="AK38" s="13"/>
      <c r="AL38" s="13">
        <f>(D38+F38+H38+J38+L38+N38+P38+R38+T38+V38+X38+Z38+AB38++AD38+AF38+AH38+AJ38)/17</f>
        <v>0.10648405314156088</v>
      </c>
      <c r="AM38" s="13"/>
    </row>
    <row r="39" spans="1:39" ht="18.75">
      <c r="A39" s="18" t="s">
        <v>74</v>
      </c>
      <c r="B39" s="19" t="s">
        <v>75</v>
      </c>
      <c r="C39" s="19"/>
      <c r="D39" s="20"/>
      <c r="E39" s="20"/>
      <c r="F39" s="20"/>
      <c r="G39" s="20"/>
      <c r="H39" s="20"/>
      <c r="I39" s="20"/>
      <c r="J39" s="20"/>
      <c r="K39" s="26"/>
      <c r="L39" s="20"/>
      <c r="M39" s="26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1:40" ht="31.5">
      <c r="A40" s="5" t="s">
        <v>76</v>
      </c>
      <c r="B40" s="3" t="s">
        <v>77</v>
      </c>
      <c r="C40" s="3" t="s">
        <v>78</v>
      </c>
      <c r="D40" s="13" t="s">
        <v>105</v>
      </c>
      <c r="E40" s="13">
        <f>9/10*100</f>
        <v>90</v>
      </c>
      <c r="F40" s="13" t="s">
        <v>112</v>
      </c>
      <c r="G40" s="13">
        <f>7/9*100</f>
        <v>77.77777777777779</v>
      </c>
      <c r="H40" s="13" t="s">
        <v>119</v>
      </c>
      <c r="I40" s="13">
        <v>100</v>
      </c>
      <c r="J40" s="13" t="s">
        <v>111</v>
      </c>
      <c r="K40" s="13">
        <f>7/8*100</f>
        <v>87.5</v>
      </c>
      <c r="L40" s="13" t="s">
        <v>105</v>
      </c>
      <c r="M40" s="13">
        <f>9/10*100</f>
        <v>90</v>
      </c>
      <c r="N40" s="13" t="s">
        <v>133</v>
      </c>
      <c r="O40" s="13">
        <f>15/19*100</f>
        <v>78.94736842105263</v>
      </c>
      <c r="P40" s="13" t="s">
        <v>140</v>
      </c>
      <c r="Q40" s="13">
        <f>19/22*100</f>
        <v>86.36363636363636</v>
      </c>
      <c r="R40" s="13" t="s">
        <v>146</v>
      </c>
      <c r="S40" s="13">
        <f>5/6*100</f>
        <v>83.33333333333334</v>
      </c>
      <c r="T40" s="13" t="s">
        <v>151</v>
      </c>
      <c r="U40" s="13">
        <f>9/11*100</f>
        <v>81.81818181818183</v>
      </c>
      <c r="V40" s="13" t="s">
        <v>157</v>
      </c>
      <c r="W40" s="13">
        <f>6/9*100</f>
        <v>66.66666666666666</v>
      </c>
      <c r="X40" s="13" t="s">
        <v>158</v>
      </c>
      <c r="Y40" s="13">
        <f>7/13*100</f>
        <v>53.84615384615385</v>
      </c>
      <c r="Z40" s="13" t="s">
        <v>129</v>
      </c>
      <c r="AA40" s="13">
        <f>3/8*100</f>
        <v>37.5</v>
      </c>
      <c r="AB40" s="13" t="s">
        <v>167</v>
      </c>
      <c r="AC40" s="13">
        <f>10/13*100</f>
        <v>76.92307692307693</v>
      </c>
      <c r="AD40" s="13" t="s">
        <v>79</v>
      </c>
      <c r="AE40" s="13">
        <v>100</v>
      </c>
      <c r="AF40" s="13" t="s">
        <v>171</v>
      </c>
      <c r="AG40" s="13">
        <v>100</v>
      </c>
      <c r="AH40" s="13" t="s">
        <v>177</v>
      </c>
      <c r="AI40" s="13">
        <f>64/65*100</f>
        <v>98.46153846153847</v>
      </c>
      <c r="AJ40" s="13" t="s">
        <v>148</v>
      </c>
      <c r="AK40" s="13">
        <v>100</v>
      </c>
      <c r="AL40" s="13" t="s">
        <v>205</v>
      </c>
      <c r="AM40" s="13">
        <f>213/246*100</f>
        <v>86.58536585365853</v>
      </c>
      <c r="AN40" t="s">
        <v>214</v>
      </c>
    </row>
    <row r="41" spans="1:39" ht="31.5">
      <c r="A41" s="5" t="s">
        <v>81</v>
      </c>
      <c r="B41" s="3" t="s">
        <v>82</v>
      </c>
      <c r="C41" s="3" t="s">
        <v>78</v>
      </c>
      <c r="D41" s="13" t="s">
        <v>106</v>
      </c>
      <c r="E41" s="13">
        <f>5/10*100</f>
        <v>50</v>
      </c>
      <c r="F41" s="13" t="s">
        <v>113</v>
      </c>
      <c r="G41" s="13">
        <f>1/9*100</f>
        <v>11.11111111111111</v>
      </c>
      <c r="H41" s="13" t="s">
        <v>120</v>
      </c>
      <c r="I41" s="13">
        <f>11/16*100</f>
        <v>68.75</v>
      </c>
      <c r="J41" s="13" t="s">
        <v>126</v>
      </c>
      <c r="K41" s="13">
        <f>2/8*100</f>
        <v>25</v>
      </c>
      <c r="L41" s="13" t="s">
        <v>131</v>
      </c>
      <c r="M41" s="13">
        <f>2/10*100</f>
        <v>20</v>
      </c>
      <c r="N41" s="13" t="s">
        <v>134</v>
      </c>
      <c r="O41" s="13">
        <f>4/19*100</f>
        <v>21.052631578947366</v>
      </c>
      <c r="P41" s="13" t="s">
        <v>141</v>
      </c>
      <c r="Q41" s="13">
        <f>11/22*100</f>
        <v>50</v>
      </c>
      <c r="R41" s="13" t="s">
        <v>147</v>
      </c>
      <c r="S41" s="13">
        <f>1/6*100</f>
        <v>16.666666666666664</v>
      </c>
      <c r="T41" s="13" t="s">
        <v>152</v>
      </c>
      <c r="U41" s="13">
        <f>3/11*100</f>
        <v>27.27272727272727</v>
      </c>
      <c r="V41" s="13" t="s">
        <v>113</v>
      </c>
      <c r="W41" s="13">
        <f>1/9*100</f>
        <v>11.11111111111111</v>
      </c>
      <c r="X41" s="13" t="s">
        <v>159</v>
      </c>
      <c r="Y41" s="13">
        <f>2/13*100</f>
        <v>15.384615384615385</v>
      </c>
      <c r="Z41" s="13" t="s">
        <v>129</v>
      </c>
      <c r="AA41" s="13">
        <f>3/8*100</f>
        <v>37.5</v>
      </c>
      <c r="AB41" s="13" t="s">
        <v>161</v>
      </c>
      <c r="AC41" s="13">
        <v>0</v>
      </c>
      <c r="AD41" s="13" t="s">
        <v>79</v>
      </c>
      <c r="AE41" s="13">
        <v>100</v>
      </c>
      <c r="AF41" s="13" t="s">
        <v>172</v>
      </c>
      <c r="AG41" s="13">
        <f>17/20*100</f>
        <v>85</v>
      </c>
      <c r="AH41" s="13" t="s">
        <v>178</v>
      </c>
      <c r="AI41" s="13">
        <f>39/65*100</f>
        <v>60</v>
      </c>
      <c r="AJ41" s="13" t="s">
        <v>148</v>
      </c>
      <c r="AK41" s="13">
        <v>100</v>
      </c>
      <c r="AL41" s="13" t="s">
        <v>206</v>
      </c>
      <c r="AM41" s="13">
        <f>109/122*100</f>
        <v>89.34426229508196</v>
      </c>
    </row>
    <row r="42" spans="1:39" ht="31.5">
      <c r="A42" s="5" t="s">
        <v>83</v>
      </c>
      <c r="B42" s="3" t="s">
        <v>84</v>
      </c>
      <c r="C42" s="3" t="s">
        <v>78</v>
      </c>
      <c r="D42" s="13" t="s">
        <v>107</v>
      </c>
      <c r="E42" s="13">
        <f>8/10*100</f>
        <v>80</v>
      </c>
      <c r="F42" s="13" t="s">
        <v>114</v>
      </c>
      <c r="G42" s="13">
        <f>3/9*100</f>
        <v>33.33333333333333</v>
      </c>
      <c r="H42" s="13" t="s">
        <v>121</v>
      </c>
      <c r="I42" s="13">
        <f>4/16*100</f>
        <v>25</v>
      </c>
      <c r="J42" s="13" t="s">
        <v>126</v>
      </c>
      <c r="K42" s="13">
        <f>2/8*100</f>
        <v>25</v>
      </c>
      <c r="L42" s="13" t="s">
        <v>132</v>
      </c>
      <c r="M42" s="13">
        <f>3/10*100</f>
        <v>30</v>
      </c>
      <c r="N42" s="13" t="s">
        <v>135</v>
      </c>
      <c r="O42" s="13">
        <f>3/19*100</f>
        <v>15.789473684210526</v>
      </c>
      <c r="P42" s="13" t="s">
        <v>141</v>
      </c>
      <c r="Q42" s="13">
        <f>11/22*100</f>
        <v>50</v>
      </c>
      <c r="R42" s="13" t="s">
        <v>148</v>
      </c>
      <c r="S42" s="13">
        <v>100</v>
      </c>
      <c r="T42" s="13" t="s">
        <v>152</v>
      </c>
      <c r="U42" s="13">
        <f>3/11*100</f>
        <v>27.27272727272727</v>
      </c>
      <c r="V42" s="13" t="s">
        <v>114</v>
      </c>
      <c r="W42" s="13">
        <f>3/9*100</f>
        <v>33.33333333333333</v>
      </c>
      <c r="X42" s="13" t="s">
        <v>160</v>
      </c>
      <c r="Y42" s="13">
        <f>4/13*100</f>
        <v>30.76923076923077</v>
      </c>
      <c r="Z42" s="13" t="s">
        <v>129</v>
      </c>
      <c r="AA42" s="13">
        <f>3/8*100</f>
        <v>37.5</v>
      </c>
      <c r="AB42" s="13" t="s">
        <v>168</v>
      </c>
      <c r="AC42" s="13">
        <f>5/13*100</f>
        <v>38.46153846153847</v>
      </c>
      <c r="AD42" s="13" t="s">
        <v>79</v>
      </c>
      <c r="AE42" s="13">
        <v>100</v>
      </c>
      <c r="AF42" s="13" t="s">
        <v>173</v>
      </c>
      <c r="AG42" s="13">
        <f>18/20*100</f>
        <v>90</v>
      </c>
      <c r="AH42" s="13" t="s">
        <v>179</v>
      </c>
      <c r="AI42" s="13">
        <f>53/65*100</f>
        <v>81.53846153846153</v>
      </c>
      <c r="AJ42" s="13" t="s">
        <v>148</v>
      </c>
      <c r="AK42" s="13">
        <v>100</v>
      </c>
      <c r="AL42" s="13" t="s">
        <v>207</v>
      </c>
      <c r="AM42" s="13">
        <f>136/246*100</f>
        <v>55.28455284552846</v>
      </c>
    </row>
    <row r="43" spans="1:39" ht="31.5">
      <c r="A43" s="5" t="s">
        <v>85</v>
      </c>
      <c r="B43" s="3" t="s">
        <v>86</v>
      </c>
      <c r="C43" s="3" t="s">
        <v>78</v>
      </c>
      <c r="D43" s="13" t="s">
        <v>108</v>
      </c>
      <c r="E43" s="13">
        <f>1/10*100</f>
        <v>10</v>
      </c>
      <c r="F43" s="13" t="s">
        <v>113</v>
      </c>
      <c r="G43" s="13">
        <f>1/9*100</f>
        <v>11.11111111111111</v>
      </c>
      <c r="H43" s="13" t="s">
        <v>122</v>
      </c>
      <c r="I43" s="13">
        <f>1/16*100</f>
        <v>6.25</v>
      </c>
      <c r="J43" s="13" t="s">
        <v>127</v>
      </c>
      <c r="K43" s="13">
        <f>1/8*100</f>
        <v>12.5</v>
      </c>
      <c r="L43" s="13" t="s">
        <v>108</v>
      </c>
      <c r="M43" s="13">
        <f>1/10*100</f>
        <v>10</v>
      </c>
      <c r="N43" s="13" t="s">
        <v>136</v>
      </c>
      <c r="O43" s="13">
        <v>0</v>
      </c>
      <c r="P43" s="13" t="s">
        <v>142</v>
      </c>
      <c r="Q43" s="13">
        <v>0</v>
      </c>
      <c r="R43" s="13" t="s">
        <v>149</v>
      </c>
      <c r="S43" s="13">
        <v>0</v>
      </c>
      <c r="T43" s="13" t="s">
        <v>153</v>
      </c>
      <c r="U43" s="13">
        <v>0</v>
      </c>
      <c r="V43" s="13" t="s">
        <v>115</v>
      </c>
      <c r="W43" s="13">
        <v>0</v>
      </c>
      <c r="X43" s="13" t="s">
        <v>161</v>
      </c>
      <c r="Y43" s="13">
        <v>0</v>
      </c>
      <c r="Z43" s="13" t="s">
        <v>166</v>
      </c>
      <c r="AA43" s="13">
        <v>0</v>
      </c>
      <c r="AB43" s="13" t="s">
        <v>169</v>
      </c>
      <c r="AC43" s="13">
        <f>1/13*100</f>
        <v>7.6923076923076925</v>
      </c>
      <c r="AD43" s="13" t="s">
        <v>80</v>
      </c>
      <c r="AE43" s="13">
        <v>0</v>
      </c>
      <c r="AF43" s="13" t="s">
        <v>174</v>
      </c>
      <c r="AG43" s="13">
        <f>1/20*100</f>
        <v>5</v>
      </c>
      <c r="AH43" s="13" t="s">
        <v>180</v>
      </c>
      <c r="AI43" s="13">
        <f>2/65*100</f>
        <v>3.076923076923077</v>
      </c>
      <c r="AJ43" s="13" t="s">
        <v>149</v>
      </c>
      <c r="AK43" s="13">
        <v>0</v>
      </c>
      <c r="AL43" s="13" t="s">
        <v>208</v>
      </c>
      <c r="AM43" s="13">
        <f>9/246*100</f>
        <v>3.6585365853658534</v>
      </c>
    </row>
    <row r="44" spans="1:39" ht="31.5">
      <c r="A44" s="5" t="s">
        <v>87</v>
      </c>
      <c r="B44" s="3" t="s">
        <v>88</v>
      </c>
      <c r="C44" s="3" t="s">
        <v>78</v>
      </c>
      <c r="D44" s="13" t="s">
        <v>108</v>
      </c>
      <c r="E44" s="13">
        <f>1/10*100</f>
        <v>10</v>
      </c>
      <c r="F44" s="13" t="s">
        <v>115</v>
      </c>
      <c r="G44" s="13">
        <v>0</v>
      </c>
      <c r="H44" s="13" t="s">
        <v>122</v>
      </c>
      <c r="I44" s="13">
        <f>1/16*100</f>
        <v>6.25</v>
      </c>
      <c r="J44" s="13" t="s">
        <v>127</v>
      </c>
      <c r="K44" s="13">
        <f>1/8*100</f>
        <v>12.5</v>
      </c>
      <c r="L44" s="13" t="s">
        <v>108</v>
      </c>
      <c r="M44" s="13">
        <f>1/10*100</f>
        <v>10</v>
      </c>
      <c r="N44" s="13" t="s">
        <v>136</v>
      </c>
      <c r="O44" s="13">
        <v>0</v>
      </c>
      <c r="P44" s="13" t="s">
        <v>143</v>
      </c>
      <c r="Q44" s="13">
        <f>2/22*100</f>
        <v>9.090909090909092</v>
      </c>
      <c r="R44" s="13" t="s">
        <v>149</v>
      </c>
      <c r="S44" s="13">
        <v>0</v>
      </c>
      <c r="T44" s="13" t="s">
        <v>153</v>
      </c>
      <c r="U44" s="13">
        <v>0</v>
      </c>
      <c r="V44" s="13" t="s">
        <v>115</v>
      </c>
      <c r="W44" s="13">
        <v>0</v>
      </c>
      <c r="X44" s="13" t="s">
        <v>161</v>
      </c>
      <c r="Y44" s="13">
        <v>0</v>
      </c>
      <c r="Z44" s="13" t="s">
        <v>166</v>
      </c>
      <c r="AA44" s="13">
        <v>0</v>
      </c>
      <c r="AB44" s="13" t="s">
        <v>161</v>
      </c>
      <c r="AC44" s="13">
        <v>0</v>
      </c>
      <c r="AD44" s="13" t="s">
        <v>80</v>
      </c>
      <c r="AE44" s="13">
        <v>0</v>
      </c>
      <c r="AF44" s="13" t="s">
        <v>175</v>
      </c>
      <c r="AG44" s="13">
        <f>6/20*100</f>
        <v>30</v>
      </c>
      <c r="AH44" s="13" t="s">
        <v>181</v>
      </c>
      <c r="AI44" s="13">
        <f>17/65*100</f>
        <v>26.153846153846157</v>
      </c>
      <c r="AJ44" s="13" t="s">
        <v>149</v>
      </c>
      <c r="AK44" s="13">
        <v>0</v>
      </c>
      <c r="AL44" s="13" t="s">
        <v>209</v>
      </c>
      <c r="AM44" s="13">
        <f>29/246*100</f>
        <v>11.788617886178862</v>
      </c>
    </row>
    <row r="45" spans="1:39" ht="31.5">
      <c r="A45" s="5" t="s">
        <v>89</v>
      </c>
      <c r="B45" s="3" t="s">
        <v>90</v>
      </c>
      <c r="C45" s="3" t="s">
        <v>78</v>
      </c>
      <c r="D45" s="13" t="s">
        <v>109</v>
      </c>
      <c r="E45" s="13">
        <f>6/10*100</f>
        <v>60</v>
      </c>
      <c r="F45" s="13" t="s">
        <v>115</v>
      </c>
      <c r="G45" s="13">
        <v>0</v>
      </c>
      <c r="H45" s="13" t="s">
        <v>123</v>
      </c>
      <c r="I45" s="13">
        <f>7/16*100</f>
        <v>43.75</v>
      </c>
      <c r="J45" s="13" t="s">
        <v>126</v>
      </c>
      <c r="K45" s="13">
        <f>2/8*100</f>
        <v>25</v>
      </c>
      <c r="L45" s="13" t="s">
        <v>132</v>
      </c>
      <c r="M45" s="13">
        <f>3/10*100</f>
        <v>30</v>
      </c>
      <c r="N45" s="13" t="s">
        <v>135</v>
      </c>
      <c r="O45" s="13">
        <f>3/19*100</f>
        <v>15.789473684210526</v>
      </c>
      <c r="P45" s="13" t="s">
        <v>142</v>
      </c>
      <c r="Q45" s="13">
        <v>0</v>
      </c>
      <c r="R45" s="13" t="s">
        <v>150</v>
      </c>
      <c r="S45" s="13">
        <v>50</v>
      </c>
      <c r="T45" s="13" t="s">
        <v>153</v>
      </c>
      <c r="U45" s="13">
        <v>0</v>
      </c>
      <c r="V45" s="13" t="s">
        <v>115</v>
      </c>
      <c r="W45" s="13">
        <v>0</v>
      </c>
      <c r="X45" s="13" t="s">
        <v>162</v>
      </c>
      <c r="Y45" s="13">
        <f>3/13*100</f>
        <v>23.076923076923077</v>
      </c>
      <c r="Z45" s="13" t="s">
        <v>129</v>
      </c>
      <c r="AA45" s="13">
        <f>3/8*100</f>
        <v>37.5</v>
      </c>
      <c r="AB45" s="13" t="s">
        <v>162</v>
      </c>
      <c r="AC45" s="13">
        <f>3/13*100</f>
        <v>23.076923076923077</v>
      </c>
      <c r="AD45" s="13" t="s">
        <v>79</v>
      </c>
      <c r="AE45" s="13">
        <v>100</v>
      </c>
      <c r="AF45" s="13" t="s">
        <v>176</v>
      </c>
      <c r="AG45" s="13">
        <f>15/20*100</f>
        <v>75</v>
      </c>
      <c r="AH45" s="13" t="s">
        <v>182</v>
      </c>
      <c r="AI45" s="13">
        <f>43/65*100</f>
        <v>66.15384615384615</v>
      </c>
      <c r="AJ45" s="13" t="s">
        <v>146</v>
      </c>
      <c r="AK45" s="13">
        <f>5/6*100</f>
        <v>83.33333333333334</v>
      </c>
      <c r="AL45" s="13" t="s">
        <v>210</v>
      </c>
      <c r="AM45" s="13">
        <f>97/246*100</f>
        <v>39.43089430894309</v>
      </c>
    </row>
    <row r="46" spans="1:39" ht="18.75">
      <c r="A46" s="23">
        <v>2</v>
      </c>
      <c r="B46" s="24" t="s">
        <v>91</v>
      </c>
      <c r="C46" s="24"/>
      <c r="D46" s="25"/>
      <c r="E46" s="20"/>
      <c r="F46" s="20"/>
      <c r="G46" s="20"/>
      <c r="H46" s="20"/>
      <c r="I46" s="20"/>
      <c r="J46" s="20"/>
      <c r="K46" s="26"/>
      <c r="L46" s="20"/>
      <c r="M46" s="26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>
        <v>0</v>
      </c>
      <c r="AE46" s="20"/>
      <c r="AF46" s="20"/>
      <c r="AG46" s="20"/>
      <c r="AH46" s="20"/>
      <c r="AI46" s="20"/>
      <c r="AJ46" s="20"/>
      <c r="AK46" s="20"/>
      <c r="AL46" s="20"/>
      <c r="AM46" s="20"/>
    </row>
    <row r="47" spans="1:39" ht="37.5">
      <c r="A47" s="5" t="s">
        <v>92</v>
      </c>
      <c r="B47" s="3" t="s">
        <v>93</v>
      </c>
      <c r="C47" s="3" t="s">
        <v>94</v>
      </c>
      <c r="D47" s="13">
        <v>5.578061563360802</v>
      </c>
      <c r="E47" s="13"/>
      <c r="F47" s="13">
        <v>5.481816275878086</v>
      </c>
      <c r="G47" s="13"/>
      <c r="H47" s="13">
        <v>6.170076167004489</v>
      </c>
      <c r="I47" s="13"/>
      <c r="J47" s="13">
        <v>9.118895892524451</v>
      </c>
      <c r="K47" s="13"/>
      <c r="L47" s="13">
        <v>8.183417736200344</v>
      </c>
      <c r="M47" s="13"/>
      <c r="N47" s="13">
        <v>11.438797893124288</v>
      </c>
      <c r="O47" s="13"/>
      <c r="P47" s="13">
        <v>6.0939618774611946</v>
      </c>
      <c r="Q47" s="13"/>
      <c r="R47" s="13">
        <v>3.4007712649488098</v>
      </c>
      <c r="S47" s="13"/>
      <c r="T47" s="13">
        <v>9.948548842894972</v>
      </c>
      <c r="U47" s="13"/>
      <c r="V47" s="13">
        <v>4.313200340899716</v>
      </c>
      <c r="W47" s="13"/>
      <c r="X47" s="13">
        <v>7.998364067163267</v>
      </c>
      <c r="Y47" s="13"/>
      <c r="Z47" s="13">
        <v>4.402104981046499</v>
      </c>
      <c r="AA47" s="13"/>
      <c r="AB47" s="13">
        <v>9.127348243418163</v>
      </c>
      <c r="AC47" s="13"/>
      <c r="AD47" s="13">
        <v>2.461710037174721</v>
      </c>
      <c r="AE47" s="13"/>
      <c r="AF47" s="13">
        <v>3.846249548844784</v>
      </c>
      <c r="AG47" s="13"/>
      <c r="AH47" s="13">
        <v>4.537689772102243</v>
      </c>
      <c r="AI47" s="13"/>
      <c r="AJ47" s="13">
        <v>3.5632942136314263</v>
      </c>
      <c r="AK47" s="13"/>
      <c r="AL47" s="13">
        <f>(D47+F47+H47+J47+L47+N47+P47+R47+T47+V47+X47+Z47+AB47++AD47+AF47+AH47+AJ47)/17</f>
        <v>6.215547571628132</v>
      </c>
      <c r="AM47" s="13"/>
    </row>
    <row r="48" spans="1:39" ht="37.5">
      <c r="A48" s="5" t="s">
        <v>95</v>
      </c>
      <c r="B48" s="29" t="s">
        <v>215</v>
      </c>
      <c r="C48" s="3" t="s">
        <v>94</v>
      </c>
      <c r="D48" s="13">
        <v>691.2500000000001</v>
      </c>
      <c r="E48" s="13">
        <f>D48/D7</f>
        <v>0.651508011310085</v>
      </c>
      <c r="F48" s="13">
        <v>254.7</v>
      </c>
      <c r="G48" s="13">
        <f>F48/F7</f>
        <v>0.515587044534413</v>
      </c>
      <c r="H48" s="13">
        <v>5606.2</v>
      </c>
      <c r="I48" s="13">
        <f>H48/H7</f>
        <v>2.6569668246445497</v>
      </c>
      <c r="J48" s="13">
        <v>282</v>
      </c>
      <c r="K48" s="13">
        <f>J48/J7</f>
        <v>0.5790554414784395</v>
      </c>
      <c r="L48" s="13">
        <v>220.2</v>
      </c>
      <c r="M48" s="13">
        <f>L48/L7</f>
        <v>0.3361832061068702</v>
      </c>
      <c r="N48" s="13">
        <v>1494</v>
      </c>
      <c r="O48" s="13">
        <f>N48/N7</f>
        <v>1.4880478087649402</v>
      </c>
      <c r="P48" s="13">
        <v>7239.95</v>
      </c>
      <c r="Q48" s="13">
        <f>P48/P7</f>
        <v>1.9153306878306877</v>
      </c>
      <c r="R48" s="13">
        <v>458.79999999999995</v>
      </c>
      <c r="S48" s="13">
        <f>R48/R7</f>
        <v>0.6389972144846796</v>
      </c>
      <c r="T48" s="13">
        <v>1045.2</v>
      </c>
      <c r="U48" s="13">
        <f>T48/T7</f>
        <v>1.5507418397626114</v>
      </c>
      <c r="V48" s="13">
        <v>620.2</v>
      </c>
      <c r="W48" s="13">
        <f>V48/V7</f>
        <v>0.861388888888889</v>
      </c>
      <c r="X48" s="13">
        <v>1069</v>
      </c>
      <c r="Y48" s="13">
        <f>X48/X7</f>
        <v>1.3004866180048662</v>
      </c>
      <c r="Z48" s="13">
        <v>1230</v>
      </c>
      <c r="AA48" s="13">
        <f>Z48/Z7</f>
        <v>1.5</v>
      </c>
      <c r="AB48" s="13">
        <v>2351.6</v>
      </c>
      <c r="AC48" s="13">
        <f>AB48/AB7</f>
        <v>1.7667918858001501</v>
      </c>
      <c r="AD48" s="13">
        <v>115.2</v>
      </c>
      <c r="AE48" s="13">
        <f>AD48/AD7</f>
        <v>0.42825278810408923</v>
      </c>
      <c r="AF48" s="13">
        <v>3696.1</v>
      </c>
      <c r="AG48" s="13">
        <f>AF48/AF7</f>
        <v>1.030702732849972</v>
      </c>
      <c r="AH48" s="13">
        <v>5866.8</v>
      </c>
      <c r="AI48" s="13">
        <f>AH48/AH7</f>
        <v>0.4551082150337445</v>
      </c>
      <c r="AJ48" s="13">
        <v>982</v>
      </c>
      <c r="AK48" s="13">
        <f>AJ48/AJ7</f>
        <v>0.6920366455250176</v>
      </c>
      <c r="AL48" s="13">
        <f>D48+F48+H48+J48+L48+N48+P48+R48+T48+V48+X48+Z48+AB48++AD48+AF48+AH48+AJ48</f>
        <v>33223.2</v>
      </c>
      <c r="AM48" s="13">
        <f>AL48/AL7</f>
        <v>1.0116378916598154</v>
      </c>
    </row>
    <row r="49" spans="1:39" ht="31.5">
      <c r="A49" s="5" t="s">
        <v>97</v>
      </c>
      <c r="B49" s="3" t="s">
        <v>98</v>
      </c>
      <c r="C49" s="3" t="s">
        <v>78</v>
      </c>
      <c r="D49" s="13" t="s">
        <v>106</v>
      </c>
      <c r="E49" s="13">
        <f>5/10*100</f>
        <v>50</v>
      </c>
      <c r="F49" s="13" t="s">
        <v>116</v>
      </c>
      <c r="G49" s="13">
        <f>4/9*100</f>
        <v>44.44444444444444</v>
      </c>
      <c r="H49" s="13" t="s">
        <v>124</v>
      </c>
      <c r="I49" s="13">
        <f>9/16*100</f>
        <v>56.25</v>
      </c>
      <c r="J49" s="13" t="s">
        <v>128</v>
      </c>
      <c r="K49" s="13">
        <f>4/8*100</f>
        <v>50</v>
      </c>
      <c r="L49" s="13" t="s">
        <v>110</v>
      </c>
      <c r="M49" s="13">
        <f>7/10*100</f>
        <v>70</v>
      </c>
      <c r="N49" s="13" t="s">
        <v>137</v>
      </c>
      <c r="O49" s="13">
        <f>8/19*100</f>
        <v>42.10526315789473</v>
      </c>
      <c r="P49" s="13" t="s">
        <v>141</v>
      </c>
      <c r="Q49" s="13">
        <f>11/22*100</f>
        <v>50</v>
      </c>
      <c r="R49" s="13" t="s">
        <v>147</v>
      </c>
      <c r="S49" s="13">
        <f>1/6*100</f>
        <v>16.666666666666664</v>
      </c>
      <c r="T49" s="13" t="s">
        <v>154</v>
      </c>
      <c r="U49" s="13">
        <f>5/11*100</f>
        <v>45.45454545454545</v>
      </c>
      <c r="V49" s="13" t="s">
        <v>114</v>
      </c>
      <c r="W49" s="13">
        <f>3/9*100</f>
        <v>33.33333333333333</v>
      </c>
      <c r="X49" s="13" t="s">
        <v>163</v>
      </c>
      <c r="Y49" s="13">
        <f>6/13*100</f>
        <v>46.15384615384615</v>
      </c>
      <c r="Z49" s="13" t="s">
        <v>129</v>
      </c>
      <c r="AA49" s="13">
        <f>3/8*100</f>
        <v>37.5</v>
      </c>
      <c r="AB49" s="13" t="s">
        <v>168</v>
      </c>
      <c r="AC49" s="13">
        <f>5/13*100</f>
        <v>38.46153846153847</v>
      </c>
      <c r="AD49" s="13" t="s">
        <v>80</v>
      </c>
      <c r="AE49" s="13">
        <v>0</v>
      </c>
      <c r="AF49" s="13" t="s">
        <v>172</v>
      </c>
      <c r="AG49" s="13">
        <f>17/3*100</f>
        <v>566.6666666666667</v>
      </c>
      <c r="AH49" s="13" t="s">
        <v>183</v>
      </c>
      <c r="AI49" s="13">
        <f>34/65*100</f>
        <v>52.307692307692314</v>
      </c>
      <c r="AJ49" s="13" t="s">
        <v>146</v>
      </c>
      <c r="AK49" s="13">
        <f>5/6*100</f>
        <v>83.33333333333334</v>
      </c>
      <c r="AL49" s="13" t="s">
        <v>211</v>
      </c>
      <c r="AM49" s="13">
        <f>118/246*100</f>
        <v>47.96747967479675</v>
      </c>
    </row>
    <row r="50" spans="1:39" ht="31.5">
      <c r="A50" s="5" t="s">
        <v>99</v>
      </c>
      <c r="B50" s="3" t="s">
        <v>100</v>
      </c>
      <c r="C50" s="3" t="s">
        <v>78</v>
      </c>
      <c r="D50" s="13" t="s">
        <v>110</v>
      </c>
      <c r="E50" s="13">
        <f>7/10*100</f>
        <v>70</v>
      </c>
      <c r="F50" s="13" t="s">
        <v>117</v>
      </c>
      <c r="G50" s="13">
        <f>2/9*100</f>
        <v>22.22222222222222</v>
      </c>
      <c r="H50" s="13" t="s">
        <v>125</v>
      </c>
      <c r="I50" s="13">
        <f>14/16*100</f>
        <v>87.5</v>
      </c>
      <c r="J50" s="13" t="s">
        <v>129</v>
      </c>
      <c r="K50" s="13">
        <f>3/8*100</f>
        <v>37.5</v>
      </c>
      <c r="L50" s="13" t="s">
        <v>110</v>
      </c>
      <c r="M50" s="13">
        <f>7/10*100</f>
        <v>70</v>
      </c>
      <c r="N50" s="13" t="s">
        <v>138</v>
      </c>
      <c r="O50" s="13">
        <f>10/19*100</f>
        <v>52.63157894736842</v>
      </c>
      <c r="P50" s="13" t="s">
        <v>144</v>
      </c>
      <c r="Q50" s="13">
        <f>20/22*100</f>
        <v>90.9090909090909</v>
      </c>
      <c r="R50" s="13" t="s">
        <v>148</v>
      </c>
      <c r="S50" s="13">
        <v>100</v>
      </c>
      <c r="T50" s="13" t="s">
        <v>155</v>
      </c>
      <c r="U50" s="13">
        <f>8/11*100</f>
        <v>72.72727272727273</v>
      </c>
      <c r="V50" s="13" t="s">
        <v>116</v>
      </c>
      <c r="W50" s="13">
        <f>4/9*100</f>
        <v>44.44444444444444</v>
      </c>
      <c r="X50" s="13" t="s">
        <v>164</v>
      </c>
      <c r="Y50" s="13">
        <f>9/13*100</f>
        <v>69.23076923076923</v>
      </c>
      <c r="Z50" s="13" t="s">
        <v>129</v>
      </c>
      <c r="AA50" s="13">
        <f>3/8*100</f>
        <v>37.5</v>
      </c>
      <c r="AB50" s="13" t="s">
        <v>170</v>
      </c>
      <c r="AC50" s="13">
        <f>12/13*100</f>
        <v>92.3076923076923</v>
      </c>
      <c r="AD50" s="13" t="s">
        <v>79</v>
      </c>
      <c r="AE50" s="13">
        <v>100</v>
      </c>
      <c r="AF50" s="13" t="s">
        <v>171</v>
      </c>
      <c r="AG50" s="13">
        <v>100</v>
      </c>
      <c r="AH50" s="13" t="s">
        <v>184</v>
      </c>
      <c r="AI50" s="13">
        <f>62/65*100</f>
        <v>95.38461538461539</v>
      </c>
      <c r="AJ50" s="13" t="s">
        <v>148</v>
      </c>
      <c r="AK50" s="13">
        <v>100</v>
      </c>
      <c r="AL50" s="13" t="s">
        <v>212</v>
      </c>
      <c r="AM50" s="13">
        <f>194/246*100</f>
        <v>78.86178861788618</v>
      </c>
    </row>
    <row r="51" spans="1:39" ht="37.5">
      <c r="A51" s="5" t="s">
        <v>101</v>
      </c>
      <c r="B51" s="3" t="s">
        <v>102</v>
      </c>
      <c r="C51" s="3" t="s">
        <v>78</v>
      </c>
      <c r="D51" s="13" t="s">
        <v>105</v>
      </c>
      <c r="E51" s="13">
        <f>9/10*100</f>
        <v>90</v>
      </c>
      <c r="F51" s="13" t="s">
        <v>118</v>
      </c>
      <c r="G51" s="13">
        <v>100</v>
      </c>
      <c r="H51" s="13" t="s">
        <v>119</v>
      </c>
      <c r="I51" s="13">
        <v>100</v>
      </c>
      <c r="J51" s="13" t="s">
        <v>130</v>
      </c>
      <c r="K51" s="13">
        <v>100</v>
      </c>
      <c r="L51" s="13" t="s">
        <v>105</v>
      </c>
      <c r="M51" s="13">
        <f>9/10*100</f>
        <v>90</v>
      </c>
      <c r="N51" s="13" t="s">
        <v>139</v>
      </c>
      <c r="O51" s="13">
        <v>100</v>
      </c>
      <c r="P51" s="13" t="s">
        <v>145</v>
      </c>
      <c r="Q51" s="13">
        <v>100</v>
      </c>
      <c r="R51" s="13" t="s">
        <v>148</v>
      </c>
      <c r="S51" s="13">
        <v>100</v>
      </c>
      <c r="T51" s="13" t="s">
        <v>156</v>
      </c>
      <c r="U51" s="13">
        <v>100</v>
      </c>
      <c r="V51" s="13" t="s">
        <v>118</v>
      </c>
      <c r="W51" s="13">
        <v>100</v>
      </c>
      <c r="X51" s="13" t="s">
        <v>165</v>
      </c>
      <c r="Y51" s="13">
        <v>100</v>
      </c>
      <c r="Z51" s="13" t="s">
        <v>130</v>
      </c>
      <c r="AA51" s="13">
        <v>100</v>
      </c>
      <c r="AB51" s="13" t="s">
        <v>165</v>
      </c>
      <c r="AC51" s="13">
        <v>100</v>
      </c>
      <c r="AD51" s="13" t="s">
        <v>79</v>
      </c>
      <c r="AE51" s="13">
        <v>100</v>
      </c>
      <c r="AF51" s="13" t="s">
        <v>171</v>
      </c>
      <c r="AG51" s="13">
        <v>100</v>
      </c>
      <c r="AH51" s="13" t="s">
        <v>185</v>
      </c>
      <c r="AI51" s="13">
        <v>100</v>
      </c>
      <c r="AJ51" s="13" t="s">
        <v>148</v>
      </c>
      <c r="AK51" s="13">
        <v>100</v>
      </c>
      <c r="AL51" s="13" t="s">
        <v>213</v>
      </c>
      <c r="AM51" s="13">
        <f>244/246*100</f>
        <v>99.1869918699187</v>
      </c>
    </row>
    <row r="52" ht="15">
      <c r="A52" s="1"/>
    </row>
    <row r="53" ht="15">
      <c r="A53" s="1"/>
    </row>
    <row r="54" ht="15">
      <c r="A54" s="1"/>
    </row>
    <row r="55" spans="1:3" ht="18.75" customHeight="1">
      <c r="A55" s="1"/>
      <c r="B55" s="31" t="s">
        <v>216</v>
      </c>
      <c r="C55" s="30"/>
    </row>
    <row r="56" spans="1:2" ht="18.75" customHeight="1">
      <c r="A56" s="1"/>
      <c r="B56" s="31" t="s">
        <v>217</v>
      </c>
    </row>
    <row r="57" ht="15">
      <c r="A57" s="1"/>
    </row>
    <row r="58" ht="15">
      <c r="A58" s="1"/>
    </row>
    <row r="59" ht="15">
      <c r="A59" s="1"/>
    </row>
  </sheetData>
  <sheetProtection formatCells="0" formatColumns="0" formatRows="0" insertColumns="0" insertRows="0" insertHyperlinks="0" deleteColumns="0" deleteRows="0" sort="0" autoFilter="0" pivotTables="0"/>
  <mergeCells count="23">
    <mergeCell ref="X4:Y4"/>
    <mergeCell ref="AF4:AG4"/>
    <mergeCell ref="AL4:AM4"/>
    <mergeCell ref="P4:Q4"/>
    <mergeCell ref="Z4:AA4"/>
    <mergeCell ref="AB4:AC4"/>
    <mergeCell ref="AD4:AE4"/>
    <mergeCell ref="AH4:AI4"/>
    <mergeCell ref="AJ4:AK4"/>
    <mergeCell ref="R4:S4"/>
    <mergeCell ref="T4:U4"/>
    <mergeCell ref="V4:W4"/>
    <mergeCell ref="F4:G4"/>
    <mergeCell ref="H4:I4"/>
    <mergeCell ref="J4:K4"/>
    <mergeCell ref="L4:M4"/>
    <mergeCell ref="N4:O4"/>
    <mergeCell ref="A1:E1"/>
    <mergeCell ref="A2:E3"/>
    <mergeCell ref="A4:A5"/>
    <mergeCell ref="B4:B5"/>
    <mergeCell ref="C4:C5"/>
    <mergeCell ref="D4:E4"/>
  </mergeCells>
  <printOptions/>
  <pageMargins left="0.7" right="0.7" top="0.75" bottom="0.75" header="0.3" footer="0.3"/>
  <pageSetup horizontalDpi="600" verticalDpi="600" orientation="landscape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ÐŸÐ¾ÐºÐ°Ð·Ð°Ñ‚ÐµÐ»Ð¸ Ð´ÐµÑÑ‚ÐµÐ»ÑŒÐ½Ð¾ÑÑ‚Ð¸ Ð¾Ð±Ñ‰ÐµÐ¾Ð±Ñ€Ð°Ð·Ð¾Ð²Ð°Ñ‚ÐµÐ»ÑŒÐ½Ð¾Ð¹ Ð¾Ñ€Ð³Ð°Ð½Ð¸Ð·Ð°Ñ†Ð¸Ð¸, Ð¿Ð¾Ð´Ð»ÐµÐ¶Ð°Ñ‰ÐµÐ¹ ÑÐ°Ð¼Ð¾Ð¾Ð±ÑÐ»ÐµÐ´Ð¾Ð²Ð°Ð½Ð¸ÑŽ</dc:title>
  <dc:subject>ÐŸÐ¾ÐºÐ°Ð·Ð°Ñ‚ÐµÐ»Ð¸ Ð´ÐµÑÑ‚ÐµÐ»ÑŒÐ½Ð¾ÑÑ‚Ð¸ Ð¾Ð±Ñ‰ÐµÐ¾Ð±Ñ€Ð°Ð·Ð¾Ð²Ð°Ñ‚ÐµÐ»ÑŒÐ½Ð¾Ð¹ Ð¾Ñ€Ð³Ð°Ð½Ð¸Ð·Ð°Ñ†Ð¸Ð¸, Ð¿Ð¾Ð´Ð»ÐµÐ¶Ð°Ñ‰ÐµÐ¹ ÑÐ°Ð¼Ð¾Ð¾Ð±ÑÐ»ÐµÐ´Ð¾Ð²Ð°Ð½Ð¸ÑŽ</dc:subject>
  <dc:creator>ÐŸÐ¾ÐºÐ°Ð·Ð°Ñ‚ÐµÐ»Ð¸ Ð´ÐµÑÑ‚ÐµÐ»ÑŒÐ½Ð¾ÑÑ‚Ð¸ Ð¾Ð±Ñ‰ÐµÐ¾Ð±Ñ€Ð°Ð·Ð¾Ð²Ð°Ñ‚ÐµÐ»ÑŒÐ½Ð¾Ð¹ Ð¾Ñ€Ð³Ð°Ð½Ð¸Ð·Ð°Ñ†Ð¸Ð¸, Ð¿Ð¾Ð´Ð»ÐµÐ¶Ð°Ñ‰ÐµÐ¹ ÑÐ°Ð¼Ð¾Ð¾Ð±ÑÐ»ÐµÐ´Ð¾Ð²Ð°Ð½Ð¸ÑŽ</dc:creator>
  <cp:keywords>Ð¿Ð¾ÐºÐ°Ð·Ð°Ñ‚ÐµÐ»Ð¸ Ð´ÐµÑÑ‚ÐµÐ»ÑŒÐ½Ð¾ÑÑ‚ÑŒ Ð¾Ñ€Ð³Ð°Ð½Ð¸Ð·Ð°Ñ†Ð¸Ñ ÑÐ°Ð¼Ð¾Ð¾Ð±ÑÐ»ÐµÐ´Ð¾Ð²Ð°Ð½Ð¸Ðµ</cp:keywords>
  <dc:description>ÐŸÐ¾ÐºÐ°Ð·Ð°Ñ‚ÐµÐ»Ð¸ Ð´ÐµÑÑ‚ÐµÐ»ÑŒÐ½Ð¾ÑÑ‚Ð¸ Ð¾Ð±Ñ‰ÐµÐ¾Ð±Ñ€Ð°Ð·Ð¾Ð²Ð°Ñ‚ÐµÐ»ÑŒÐ½Ð¾Ð¹ Ð¾Ñ€Ð³Ð°Ð½Ð¸Ð·Ð°Ñ†Ð¸Ð¸, Ð¿Ð¾Ð´Ð»ÐµÐ¶Ð°Ñ‰ÐµÐ¹ ÑÐ°Ð¼Ð¾Ð¾Ð±ÑÐ»ÐµÐ´Ð¾Ð²Ð°Ð½Ð¸ÑŽ</dc:description>
  <cp:lastModifiedBy>колокольчик</cp:lastModifiedBy>
  <cp:lastPrinted>2015-06-15T16:08:44Z</cp:lastPrinted>
  <dcterms:created xsi:type="dcterms:W3CDTF">2015-06-11T15:30:42Z</dcterms:created>
  <dcterms:modified xsi:type="dcterms:W3CDTF">2015-06-30T08:01:15Z</dcterms:modified>
  <cp:category>Test result file</cp:category>
  <cp:version/>
  <cp:contentType/>
  <cp:contentStatus/>
</cp:coreProperties>
</file>